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workbookPassword="DF98" lockStructure="1"/>
  <bookViews>
    <workbookView xWindow="480" yWindow="60" windowWidth="27795" windowHeight="13875" tabRatio="689"/>
  </bookViews>
  <sheets>
    <sheet name="1. СФ-ШС-24" sheetId="8" r:id="rId1"/>
    <sheet name="ШДанные" sheetId="10" state="hidden" r:id="rId2"/>
    <sheet name="2. СФ-МАШ-4 №1" sheetId="1" r:id="rId3"/>
    <sheet name="3. СФ-МАШ-4 №2" sheetId="5" r:id="rId4"/>
    <sheet name="4. СФ-МАШ-4 №3" sheetId="6" r:id="rId5"/>
    <sheet name="5. СФ-МАШ-4 №4" sheetId="7" r:id="rId6"/>
    <sheet name="МДанные" sheetId="3" state="hidden" r:id="rId7"/>
    <sheet name="6. Неадресные модули" sheetId="9" r:id="rId8"/>
    <sheet name="ДДанные" sheetId="11" state="hidden" r:id="rId9"/>
    <sheet name="Справочная информация" sheetId="2" state="hidden" r:id="rId10"/>
  </sheets>
  <definedNames>
    <definedName name="d1I">'2. СФ-МАШ-4 №1'!$D$70</definedName>
    <definedName name="d2I">'3. СФ-МАШ-4 №2'!$D$70</definedName>
    <definedName name="d3I">'4. СФ-МАШ-4 №3'!$D$70</definedName>
    <definedName name="d4I">'5. СФ-МАШ-4 №4'!$D$70</definedName>
    <definedName name="Ld">ШДанные!$C$145</definedName>
    <definedName name="Le">ШДанные!$C$144</definedName>
    <definedName name="Lpow">ШДанные!$C$142</definedName>
    <definedName name="Ls">ШДанные!$C$143</definedName>
    <definedName name="Lstop">ШДанные!$C$141</definedName>
    <definedName name="N1am">'2. СФ-МАШ-4 №1'!$D$90</definedName>
    <definedName name="N1as">'2. СФ-МАШ-4 №1'!$D$88</definedName>
    <definedName name="N1i">'2. СФ-МАШ-4 №1'!$D$92</definedName>
    <definedName name="N1om">'2. СФ-МАШ-4 №1'!$D$91</definedName>
    <definedName name="N1os">'2. СФ-МАШ-4 №1'!$D$89</definedName>
    <definedName name="N1u">'2. СФ-МАШ-4 №1'!$D$87</definedName>
    <definedName name="N2am">'3. СФ-МАШ-4 №2'!$D$90</definedName>
    <definedName name="N2as">'3. СФ-МАШ-4 №2'!$D$88</definedName>
    <definedName name="N2i">'3. СФ-МАШ-4 №2'!$D$92</definedName>
    <definedName name="N2om">'3. СФ-МАШ-4 №2'!$D$91</definedName>
    <definedName name="N2os">'3. СФ-МАШ-4 №2'!$D$89</definedName>
    <definedName name="N2u">'3. СФ-МАШ-4 №2'!$D$87</definedName>
    <definedName name="N3am">'4. СФ-МАШ-4 №3'!$D$90</definedName>
    <definedName name="N3as">'4. СФ-МАШ-4 №3'!$D$88</definedName>
    <definedName name="N3i">'4. СФ-МАШ-4 №3'!$D$92</definedName>
    <definedName name="N3om">'4. СФ-МАШ-4 №3'!$D$91</definedName>
    <definedName name="N3os">'4. СФ-МАШ-4 №3'!$D$89</definedName>
    <definedName name="N3u">'4. СФ-МАШ-4 №3'!$D$87</definedName>
    <definedName name="N4am">'5. СФ-МАШ-4 №4'!$D$90</definedName>
    <definedName name="N4as">'5. СФ-МАШ-4 №4'!$D$88</definedName>
    <definedName name="N4i">'5. СФ-МАШ-4 №4'!$D$92</definedName>
    <definedName name="N4om">'5. СФ-МАШ-4 №4'!$D$91</definedName>
    <definedName name="N4os">'5. СФ-МАШ-4 №4'!$D$89</definedName>
    <definedName name="N4u">'5. СФ-МАШ-4 №4'!$D$87</definedName>
    <definedName name="Nax">МДанные!$D$138</definedName>
    <definedName name="Nir">МДанные!$D$140</definedName>
    <definedName name="Nix">МДанные!$D$141</definedName>
    <definedName name="Nox">МДанные!$D$139</definedName>
  </definedNames>
  <calcPr calcId="145621" iterate="1"/>
</workbook>
</file>

<file path=xl/calcChain.xml><?xml version="1.0" encoding="utf-8"?>
<calcChain xmlns="http://schemas.openxmlformats.org/spreadsheetml/2006/main">
  <c r="AO19" i="3" l="1"/>
  <c r="AL19" i="3"/>
  <c r="AI19" i="3"/>
  <c r="AF19" i="3"/>
  <c r="AO58" i="3" l="1"/>
  <c r="AL58" i="3"/>
  <c r="AI58" i="3"/>
  <c r="AO57" i="3"/>
  <c r="AL57" i="3"/>
  <c r="AI57" i="3"/>
  <c r="AF58" i="3"/>
  <c r="AF57" i="3"/>
  <c r="E80" i="5" l="1"/>
  <c r="E80" i="7"/>
  <c r="E80" i="6"/>
  <c r="E80" i="1"/>
  <c r="D91" i="1" l="1"/>
  <c r="D91" i="5"/>
  <c r="D91" i="6"/>
  <c r="D91" i="7"/>
  <c r="D89" i="7"/>
  <c r="D89" i="6"/>
  <c r="D89" i="5"/>
  <c r="D89" i="1"/>
  <c r="D88" i="7" l="1"/>
  <c r="AM22" i="3"/>
  <c r="E22" i="7" s="1"/>
  <c r="AM21" i="3"/>
  <c r="E21" i="7" s="1"/>
  <c r="AM19" i="3"/>
  <c r="D88" i="5"/>
  <c r="AG21" i="3"/>
  <c r="AG19" i="3"/>
  <c r="AG22" i="3"/>
  <c r="D88" i="6"/>
  <c r="AJ22" i="3"/>
  <c r="E22" i="6" s="1"/>
  <c r="AJ21" i="3"/>
  <c r="E21" i="6" s="1"/>
  <c r="AJ19" i="3"/>
  <c r="D88" i="1"/>
  <c r="AD22" i="3"/>
  <c r="AD21" i="3"/>
  <c r="AD19" i="3"/>
  <c r="D90" i="7"/>
  <c r="AM20" i="3"/>
  <c r="E20" i="7" s="1"/>
  <c r="D90" i="6"/>
  <c r="AJ20" i="3"/>
  <c r="E20" i="6" s="1"/>
  <c r="D90" i="5"/>
  <c r="AG20" i="3"/>
  <c r="D90" i="1"/>
  <c r="AD20" i="3"/>
  <c r="D142" i="3"/>
  <c r="AM37" i="3" l="1"/>
  <c r="AM41" i="3"/>
  <c r="AM45" i="3"/>
  <c r="AM49" i="3"/>
  <c r="AM53" i="3"/>
  <c r="AM36" i="3"/>
  <c r="AM27" i="3"/>
  <c r="AM31" i="3"/>
  <c r="AM34" i="3"/>
  <c r="AM42" i="3"/>
  <c r="AM46" i="3"/>
  <c r="AM50" i="3"/>
  <c r="AM54" i="3"/>
  <c r="AM35" i="3"/>
  <c r="AM28" i="3"/>
  <c r="AM32" i="3"/>
  <c r="AM33" i="3"/>
  <c r="AM43" i="3"/>
  <c r="AM47" i="3"/>
  <c r="AM51" i="3"/>
  <c r="AM55" i="3"/>
  <c r="AM25" i="3"/>
  <c r="AM29" i="3"/>
  <c r="AM24" i="3"/>
  <c r="AM40" i="3"/>
  <c r="AM44" i="3"/>
  <c r="AM48" i="3"/>
  <c r="AM52" i="3"/>
  <c r="AM39" i="3"/>
  <c r="AM26" i="3"/>
  <c r="AM30" i="3"/>
  <c r="AG33" i="3"/>
  <c r="AG41" i="3"/>
  <c r="AG43" i="3"/>
  <c r="AG45" i="3"/>
  <c r="AG47" i="3"/>
  <c r="AG49" i="3"/>
  <c r="AG51" i="3"/>
  <c r="AG53" i="3"/>
  <c r="AG55" i="3"/>
  <c r="AG25" i="3"/>
  <c r="AG29" i="3"/>
  <c r="AG35" i="3"/>
  <c r="AG34" i="3"/>
  <c r="AG26" i="3"/>
  <c r="AG30" i="3"/>
  <c r="AG24" i="3"/>
  <c r="AG36" i="3"/>
  <c r="AG31" i="3"/>
  <c r="AG37" i="3"/>
  <c r="AG28" i="3"/>
  <c r="AG40" i="3"/>
  <c r="AG42" i="3"/>
  <c r="AG44" i="3"/>
  <c r="AG46" i="3"/>
  <c r="AG48" i="3"/>
  <c r="AG50" i="3"/>
  <c r="AG52" i="3"/>
  <c r="AG54" i="3"/>
  <c r="AG27" i="3"/>
  <c r="AG39" i="3"/>
  <c r="AG32" i="3"/>
  <c r="AD33" i="3"/>
  <c r="AD41" i="3"/>
  <c r="AD45" i="3"/>
  <c r="AD49" i="3"/>
  <c r="AD53" i="3"/>
  <c r="AD25" i="3"/>
  <c r="AD29" i="3"/>
  <c r="AD24" i="3"/>
  <c r="AD40" i="3"/>
  <c r="AD44" i="3"/>
  <c r="AD48" i="3"/>
  <c r="AD52" i="3"/>
  <c r="AD26" i="3"/>
  <c r="AD30" i="3"/>
  <c r="AD37" i="3"/>
  <c r="AD43" i="3"/>
  <c r="AD47" i="3"/>
  <c r="AD51" i="3"/>
  <c r="AD55" i="3"/>
  <c r="AD36" i="3"/>
  <c r="AD27" i="3"/>
  <c r="AD31" i="3"/>
  <c r="AD34" i="3"/>
  <c r="AD42" i="3"/>
  <c r="AD46" i="3"/>
  <c r="AD50" i="3"/>
  <c r="AD54" i="3"/>
  <c r="AD39" i="3"/>
  <c r="AD35" i="3"/>
  <c r="AD28" i="3"/>
  <c r="AD32" i="3"/>
  <c r="AM8" i="3"/>
  <c r="AM12" i="3"/>
  <c r="AM16" i="3"/>
  <c r="AM9" i="3"/>
  <c r="AM13" i="3"/>
  <c r="AM17" i="3"/>
  <c r="AM10" i="3"/>
  <c r="AM14" i="3"/>
  <c r="AM18" i="3"/>
  <c r="AM11" i="3"/>
  <c r="AM15" i="3"/>
  <c r="AG10" i="3"/>
  <c r="AG14" i="3"/>
  <c r="AG18" i="3"/>
  <c r="AG11" i="3"/>
  <c r="AG15" i="3"/>
  <c r="AG8" i="3"/>
  <c r="AG12" i="3"/>
  <c r="AG16" i="3"/>
  <c r="AG9" i="3"/>
  <c r="AG13" i="3"/>
  <c r="AG17" i="3"/>
  <c r="AJ14" i="3"/>
  <c r="AJ11" i="3"/>
  <c r="AJ15" i="3"/>
  <c r="AJ8" i="3"/>
  <c r="AJ12" i="3"/>
  <c r="AJ16" i="3"/>
  <c r="AJ9" i="3"/>
  <c r="AJ13" i="3"/>
  <c r="AJ17" i="3"/>
  <c r="AJ10" i="3"/>
  <c r="AJ18" i="3"/>
  <c r="AJ28" i="3"/>
  <c r="AJ37" i="3"/>
  <c r="AJ39" i="3"/>
  <c r="AJ26" i="3"/>
  <c r="AJ30" i="3"/>
  <c r="AJ34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36" i="3"/>
  <c r="AJ27" i="3"/>
  <c r="AJ31" i="3"/>
  <c r="AJ33" i="3"/>
  <c r="AJ35" i="3"/>
  <c r="AJ32" i="3"/>
  <c r="AJ24" i="3"/>
  <c r="AJ25" i="3"/>
  <c r="AJ29" i="3"/>
  <c r="AD11" i="3"/>
  <c r="AD15" i="3"/>
  <c r="AD8" i="3"/>
  <c r="AD12" i="3"/>
  <c r="AD16" i="3"/>
  <c r="AD9" i="3"/>
  <c r="AD13" i="3"/>
  <c r="AD17" i="3"/>
  <c r="AD10" i="3"/>
  <c r="AD14" i="3"/>
  <c r="AD18" i="3"/>
  <c r="E6" i="10"/>
  <c r="B132" i="10" l="1"/>
  <c r="B62" i="8"/>
  <c r="J13" i="10"/>
  <c r="E7" i="10" s="1"/>
  <c r="B67" i="8" l="1"/>
  <c r="B66" i="8"/>
  <c r="B65" i="8"/>
  <c r="B64" i="8"/>
  <c r="B63" i="8"/>
  <c r="B61" i="8"/>
  <c r="B60" i="8"/>
  <c r="B59" i="8"/>
  <c r="B55" i="8" l="1"/>
  <c r="B56" i="8"/>
  <c r="B57" i="8"/>
  <c r="B58" i="8"/>
  <c r="B54" i="8"/>
  <c r="S24" i="11" l="1"/>
  <c r="R24" i="11"/>
  <c r="Q24" i="11"/>
  <c r="P24" i="11"/>
  <c r="O24" i="11"/>
  <c r="N24" i="11"/>
  <c r="M24" i="11"/>
  <c r="L24" i="11"/>
  <c r="K24" i="11"/>
  <c r="J24" i="11"/>
  <c r="S23" i="11"/>
  <c r="R23" i="11"/>
  <c r="Q23" i="11"/>
  <c r="P23" i="11"/>
  <c r="O23" i="11"/>
  <c r="N23" i="11"/>
  <c r="M23" i="11"/>
  <c r="L23" i="11"/>
  <c r="K23" i="11"/>
  <c r="J23" i="11"/>
  <c r="S20" i="11"/>
  <c r="P20" i="11"/>
  <c r="O20" i="11"/>
  <c r="L20" i="11"/>
  <c r="K20" i="11"/>
  <c r="S19" i="11"/>
  <c r="R19" i="11"/>
  <c r="Q19" i="11"/>
  <c r="P19" i="11"/>
  <c r="O19" i="11"/>
  <c r="N19" i="11"/>
  <c r="M19" i="11"/>
  <c r="L19" i="11"/>
  <c r="K19" i="11"/>
  <c r="J19" i="11"/>
  <c r="H19" i="11"/>
  <c r="G19" i="11"/>
  <c r="S18" i="11"/>
  <c r="S21" i="11" s="1"/>
  <c r="R18" i="11"/>
  <c r="R20" i="11" s="1"/>
  <c r="Q18" i="11"/>
  <c r="Q20" i="11" s="1"/>
  <c r="P18" i="11"/>
  <c r="O18" i="11"/>
  <c r="O21" i="11" s="1"/>
  <c r="N18" i="11"/>
  <c r="N20" i="11" s="1"/>
  <c r="M18" i="11"/>
  <c r="M20" i="11" s="1"/>
  <c r="L18" i="11"/>
  <c r="K18" i="11"/>
  <c r="K21" i="11" s="1"/>
  <c r="J18" i="11"/>
  <c r="J20" i="11" s="1"/>
  <c r="H18" i="11"/>
  <c r="P21" i="11" s="1"/>
  <c r="G18" i="11"/>
  <c r="S12" i="11"/>
  <c r="R12" i="11"/>
  <c r="Q12" i="11"/>
  <c r="P12" i="11"/>
  <c r="O12" i="11"/>
  <c r="N12" i="11"/>
  <c r="M12" i="11"/>
  <c r="L12" i="11"/>
  <c r="K12" i="11"/>
  <c r="J12" i="11"/>
  <c r="S11" i="11"/>
  <c r="R11" i="11"/>
  <c r="Q11" i="11"/>
  <c r="P11" i="11"/>
  <c r="O11" i="11"/>
  <c r="N11" i="11"/>
  <c r="M11" i="11"/>
  <c r="L11" i="11"/>
  <c r="K11" i="11"/>
  <c r="J11" i="11"/>
  <c r="Q9" i="11"/>
  <c r="M9" i="11"/>
  <c r="Q8" i="11"/>
  <c r="P8" i="11"/>
  <c r="M8" i="11"/>
  <c r="L8" i="11"/>
  <c r="S7" i="11"/>
  <c r="R7" i="11"/>
  <c r="Q7" i="11"/>
  <c r="P7" i="11"/>
  <c r="O7" i="11"/>
  <c r="N7" i="11"/>
  <c r="M7" i="11"/>
  <c r="L7" i="11"/>
  <c r="K7" i="11"/>
  <c r="J7" i="11"/>
  <c r="H7" i="11"/>
  <c r="G7" i="11"/>
  <c r="S6" i="11"/>
  <c r="R6" i="11"/>
  <c r="Q6" i="11"/>
  <c r="P6" i="11"/>
  <c r="O6" i="11"/>
  <c r="N6" i="11"/>
  <c r="M6" i="11"/>
  <c r="L6" i="11"/>
  <c r="K6" i="11"/>
  <c r="J6" i="11"/>
  <c r="H6" i="11"/>
  <c r="G6" i="11"/>
  <c r="S5" i="11"/>
  <c r="R5" i="11"/>
  <c r="Q5" i="11"/>
  <c r="P5" i="11"/>
  <c r="O5" i="11"/>
  <c r="N5" i="11"/>
  <c r="M5" i="11"/>
  <c r="L5" i="11"/>
  <c r="K5" i="11"/>
  <c r="J5" i="11"/>
  <c r="H5" i="11"/>
  <c r="G5" i="11"/>
  <c r="S4" i="11"/>
  <c r="S8" i="11" s="1"/>
  <c r="R4" i="11"/>
  <c r="R8" i="11" s="1"/>
  <c r="Q4" i="11"/>
  <c r="P4" i="11"/>
  <c r="P9" i="11" s="1"/>
  <c r="O4" i="11"/>
  <c r="O8" i="11" s="1"/>
  <c r="N4" i="11"/>
  <c r="N8" i="11" s="1"/>
  <c r="M4" i="11"/>
  <c r="L4" i="11"/>
  <c r="L9" i="11" s="1"/>
  <c r="K4" i="11"/>
  <c r="K8" i="11" s="1"/>
  <c r="J4" i="11"/>
  <c r="J9" i="11" s="1"/>
  <c r="H4" i="11"/>
  <c r="G4" i="11"/>
  <c r="F45" i="10"/>
  <c r="E45" i="10"/>
  <c r="F39" i="10"/>
  <c r="E26" i="8" s="1"/>
  <c r="E39" i="10"/>
  <c r="C26" i="8" s="1"/>
  <c r="B95" i="10"/>
  <c r="B89" i="10"/>
  <c r="F38" i="10"/>
  <c r="E38" i="10"/>
  <c r="F44" i="10"/>
  <c r="H26" i="8" s="1"/>
  <c r="E44" i="10"/>
  <c r="F26" i="8" s="1"/>
  <c r="F37" i="10"/>
  <c r="E37" i="10"/>
  <c r="F36" i="10"/>
  <c r="E36" i="10"/>
  <c r="B131" i="10"/>
  <c r="B130" i="10"/>
  <c r="B129" i="10"/>
  <c r="B128" i="10"/>
  <c r="B127" i="10"/>
  <c r="B126" i="10"/>
  <c r="B125" i="10"/>
  <c r="B32" i="10"/>
  <c r="R117" i="10" s="1"/>
  <c r="B31" i="10"/>
  <c r="I20" i="10"/>
  <c r="H20" i="10"/>
  <c r="G20" i="10"/>
  <c r="F20" i="10"/>
  <c r="E20" i="10"/>
  <c r="D20" i="10"/>
  <c r="C20" i="10"/>
  <c r="G13" i="10"/>
  <c r="F13" i="10"/>
  <c r="E13" i="10"/>
  <c r="D13" i="10"/>
  <c r="C13" i="10"/>
  <c r="L21" i="11" l="1"/>
  <c r="N9" i="11"/>
  <c r="M21" i="11"/>
  <c r="Q21" i="11"/>
  <c r="R9" i="11"/>
  <c r="J8" i="11"/>
  <c r="O9" i="11"/>
  <c r="J21" i="11"/>
  <c r="N21" i="11"/>
  <c r="R21" i="11"/>
  <c r="K9" i="11"/>
  <c r="S9" i="11"/>
  <c r="I117" i="10"/>
  <c r="L117" i="10"/>
  <c r="C117" i="10"/>
  <c r="O117" i="10"/>
  <c r="F117" i="10"/>
  <c r="G35" i="7"/>
  <c r="F35" i="7"/>
  <c r="G36" i="7"/>
  <c r="G36" i="6"/>
  <c r="G36" i="5"/>
  <c r="G36" i="1"/>
  <c r="F36" i="7"/>
  <c r="F36" i="6"/>
  <c r="F36" i="5"/>
  <c r="F36" i="1"/>
  <c r="G35" i="6"/>
  <c r="F35" i="6"/>
  <c r="G35" i="5"/>
  <c r="F35" i="5"/>
  <c r="F102" i="9" l="1"/>
  <c r="F91" i="9"/>
  <c r="F80" i="9"/>
  <c r="F69" i="9"/>
  <c r="F58" i="9"/>
  <c r="F47" i="9"/>
  <c r="F36" i="9"/>
  <c r="F25" i="9"/>
  <c r="F14" i="9"/>
  <c r="F3" i="9"/>
  <c r="C105" i="9" l="1"/>
  <c r="C94" i="9"/>
  <c r="C83" i="9"/>
  <c r="F97" i="9" l="1"/>
  <c r="F75" i="9"/>
  <c r="F53" i="9"/>
  <c r="F31" i="9"/>
  <c r="F9" i="9"/>
  <c r="F108" i="9"/>
  <c r="F64" i="9"/>
  <c r="F20" i="9"/>
  <c r="F86" i="9"/>
  <c r="F42" i="9"/>
  <c r="F107" i="9"/>
  <c r="F85" i="9"/>
  <c r="F63" i="9"/>
  <c r="F41" i="9"/>
  <c r="F19" i="9"/>
  <c r="F96" i="9"/>
  <c r="F74" i="9"/>
  <c r="F52" i="9"/>
  <c r="F30" i="9"/>
  <c r="F8" i="9"/>
  <c r="C88" i="9"/>
  <c r="C87" i="9"/>
  <c r="C110" i="9"/>
  <c r="C99" i="9"/>
  <c r="C109" i="9" l="1"/>
  <c r="C98" i="9"/>
  <c r="C72" i="9" l="1"/>
  <c r="C61" i="9"/>
  <c r="C50" i="9"/>
  <c r="C39" i="9"/>
  <c r="C28" i="9"/>
  <c r="C17" i="9"/>
  <c r="C6" i="9"/>
  <c r="C65" i="9" l="1"/>
  <c r="C66" i="9"/>
  <c r="C76" i="9"/>
  <c r="C77" i="9"/>
  <c r="C55" i="9"/>
  <c r="C54" i="9"/>
  <c r="C44" i="9"/>
  <c r="C43" i="9"/>
  <c r="C33" i="9"/>
  <c r="C32" i="9"/>
  <c r="C21" i="9"/>
  <c r="C22" i="9"/>
  <c r="C10" i="9" l="1"/>
  <c r="C11" i="9"/>
  <c r="D73" i="7" l="1"/>
  <c r="D73" i="6"/>
  <c r="D73" i="5"/>
  <c r="D73" i="1"/>
  <c r="H72" i="7" l="1"/>
  <c r="H72" i="6"/>
  <c r="H72" i="5"/>
  <c r="H72" i="1"/>
  <c r="G35" i="1" l="1"/>
  <c r="F35" i="1"/>
  <c r="AA36" i="3"/>
  <c r="AB36" i="3" s="1"/>
  <c r="Y36" i="3"/>
  <c r="Z36" i="3" s="1"/>
  <c r="W36" i="3"/>
  <c r="X36" i="3" s="1"/>
  <c r="U36" i="3"/>
  <c r="V36" i="3" s="1"/>
  <c r="L36" i="3"/>
  <c r="H36" i="1" l="1"/>
  <c r="C50" i="8" l="1"/>
  <c r="E51" i="8"/>
  <c r="C49" i="8"/>
  <c r="E50" i="8"/>
  <c r="E49" i="8"/>
  <c r="I45" i="8"/>
  <c r="B45" i="8"/>
  <c r="Z27" i="8"/>
  <c r="X27" i="8"/>
  <c r="Q26" i="8"/>
  <c r="O26" i="8"/>
  <c r="N26" i="8"/>
  <c r="L26" i="8"/>
  <c r="R20" i="8"/>
  <c r="O20" i="8"/>
  <c r="G21" i="10" s="1"/>
  <c r="L20" i="8"/>
  <c r="F21" i="10" s="1"/>
  <c r="I20" i="8"/>
  <c r="F20" i="8"/>
  <c r="D21" i="10" s="1"/>
  <c r="C20" i="8"/>
  <c r="X11" i="8"/>
  <c r="U11" i="8"/>
  <c r="R11" i="8"/>
  <c r="O11" i="8"/>
  <c r="L11" i="8"/>
  <c r="I11" i="8"/>
  <c r="F11" i="8"/>
  <c r="C11" i="8"/>
  <c r="C29" i="11" s="1"/>
  <c r="B78" i="10" l="1"/>
  <c r="J27" i="10"/>
  <c r="H45" i="8"/>
  <c r="J26" i="10"/>
  <c r="C132" i="10" s="1"/>
  <c r="D132" i="10" s="1"/>
  <c r="C21" i="10"/>
  <c r="E21" i="10"/>
  <c r="K13" i="10"/>
  <c r="E8" i="10" s="1"/>
  <c r="C30" i="11"/>
  <c r="J22" i="11" s="1"/>
  <c r="B62" i="10"/>
  <c r="B63" i="10"/>
  <c r="N10" i="11"/>
  <c r="S10" i="11"/>
  <c r="K10" i="11"/>
  <c r="R10" i="11"/>
  <c r="J10" i="11"/>
  <c r="O10" i="11"/>
  <c r="L10" i="11"/>
  <c r="P10" i="11"/>
  <c r="M10" i="11"/>
  <c r="Q10" i="11"/>
  <c r="R24" i="8"/>
  <c r="O114" i="10"/>
  <c r="H21" i="10"/>
  <c r="I21" i="10"/>
  <c r="U24" i="8"/>
  <c r="L114" i="10"/>
  <c r="Q27" i="8"/>
  <c r="F32" i="8"/>
  <c r="H32" i="8"/>
  <c r="F24" i="8"/>
  <c r="T8" i="8"/>
  <c r="R109" i="10" s="1"/>
  <c r="T9" i="8"/>
  <c r="R110" i="10" s="1"/>
  <c r="N27" i="8"/>
  <c r="L24" i="8"/>
  <c r="L27" i="8"/>
  <c r="R27" i="8"/>
  <c r="I24" i="8"/>
  <c r="C24" i="8"/>
  <c r="O24" i="8"/>
  <c r="T27" i="8"/>
  <c r="O27" i="8"/>
  <c r="C32" i="11" l="1"/>
  <c r="B137" i="10" s="1"/>
  <c r="K22" i="11"/>
  <c r="K25" i="11" s="1"/>
  <c r="R22" i="11"/>
  <c r="R25" i="11" s="1"/>
  <c r="S22" i="11"/>
  <c r="S25" i="11" s="1"/>
  <c r="N22" i="11"/>
  <c r="N26" i="11" s="1"/>
  <c r="M22" i="11"/>
  <c r="M26" i="11" s="1"/>
  <c r="O22" i="11"/>
  <c r="O25" i="11" s="1"/>
  <c r="Q22" i="11"/>
  <c r="Q25" i="11" s="1"/>
  <c r="P22" i="11"/>
  <c r="P27" i="11" s="1"/>
  <c r="L22" i="11"/>
  <c r="L27" i="11" s="1"/>
  <c r="J25" i="11"/>
  <c r="J26" i="11"/>
  <c r="J27" i="11"/>
  <c r="K26" i="11"/>
  <c r="P26" i="11"/>
  <c r="L13" i="11"/>
  <c r="L15" i="11"/>
  <c r="L14" i="11"/>
  <c r="K13" i="11"/>
  <c r="K14" i="11"/>
  <c r="K15" i="11"/>
  <c r="Q15" i="11"/>
  <c r="Q14" i="11"/>
  <c r="Q13" i="11"/>
  <c r="O13" i="11"/>
  <c r="O14" i="11"/>
  <c r="O15" i="11"/>
  <c r="S13" i="11"/>
  <c r="S15" i="11"/>
  <c r="S14" i="11"/>
  <c r="M14" i="11"/>
  <c r="M13" i="11"/>
  <c r="M15" i="11"/>
  <c r="J13" i="11"/>
  <c r="J14" i="11"/>
  <c r="J15" i="11"/>
  <c r="T9" i="11"/>
  <c r="T8" i="11"/>
  <c r="N13" i="11"/>
  <c r="N15" i="11"/>
  <c r="N14" i="11"/>
  <c r="P13" i="11"/>
  <c r="P14" i="11"/>
  <c r="P15" i="11"/>
  <c r="R13" i="11"/>
  <c r="R15" i="11"/>
  <c r="R14" i="11"/>
  <c r="D161" i="3"/>
  <c r="D215" i="3"/>
  <c r="D197" i="3"/>
  <c r="D179" i="3"/>
  <c r="W27" i="8"/>
  <c r="U27" i="8"/>
  <c r="Q20" i="8" l="1"/>
  <c r="H20" i="8"/>
  <c r="N20" i="8"/>
  <c r="E20" i="8"/>
  <c r="K20" i="8"/>
  <c r="T20" i="8"/>
  <c r="M27" i="11"/>
  <c r="S26" i="11"/>
  <c r="M25" i="11"/>
  <c r="K27" i="11"/>
  <c r="L26" i="11"/>
  <c r="L25" i="11"/>
  <c r="T18" i="8"/>
  <c r="R119" i="10" s="1"/>
  <c r="K19" i="8"/>
  <c r="I120" i="10" s="1"/>
  <c r="E18" i="8"/>
  <c r="C119" i="10" s="1"/>
  <c r="N18" i="8"/>
  <c r="L119" i="10" s="1"/>
  <c r="T19" i="8"/>
  <c r="R120" i="10" s="1"/>
  <c r="E19" i="8"/>
  <c r="C120" i="10" s="1"/>
  <c r="H18" i="8"/>
  <c r="F119" i="10" s="1"/>
  <c r="N19" i="8"/>
  <c r="L120" i="10" s="1"/>
  <c r="K18" i="8"/>
  <c r="Q19" i="8"/>
  <c r="O120" i="10" s="1"/>
  <c r="H19" i="8"/>
  <c r="F120" i="10" s="1"/>
  <c r="Q18" i="8"/>
  <c r="O119" i="10" s="1"/>
  <c r="H17" i="8"/>
  <c r="F118" i="10" s="1"/>
  <c r="T17" i="8"/>
  <c r="R118" i="10" s="1"/>
  <c r="Q17" i="8"/>
  <c r="O118" i="10" s="1"/>
  <c r="E17" i="8"/>
  <c r="C118" i="10" s="1"/>
  <c r="K17" i="8"/>
  <c r="I118" i="10" s="1"/>
  <c r="N17" i="8"/>
  <c r="L118" i="10" s="1"/>
  <c r="K11" i="8"/>
  <c r="I112" i="10" s="1"/>
  <c r="Q9" i="8"/>
  <c r="O110" i="10" s="1"/>
  <c r="H10" i="8"/>
  <c r="F111" i="10" s="1"/>
  <c r="K10" i="8"/>
  <c r="I111" i="10" s="1"/>
  <c r="H11" i="8"/>
  <c r="F112" i="10" s="1"/>
  <c r="W11" i="8"/>
  <c r="U112" i="10" s="1"/>
  <c r="E11" i="8"/>
  <c r="C112" i="10" s="1"/>
  <c r="W8" i="8"/>
  <c r="U109" i="10" s="1"/>
  <c r="E9" i="8"/>
  <c r="C110" i="10" s="1"/>
  <c r="W10" i="8"/>
  <c r="U111" i="10" s="1"/>
  <c r="N11" i="8"/>
  <c r="L112" i="10" s="1"/>
  <c r="Q11" i="8"/>
  <c r="O112" i="10" s="1"/>
  <c r="K8" i="8"/>
  <c r="I109" i="10" s="1"/>
  <c r="Q10" i="8"/>
  <c r="O111" i="10" s="1"/>
  <c r="K9" i="8"/>
  <c r="I110" i="10" s="1"/>
  <c r="E10" i="8"/>
  <c r="C111" i="10" s="1"/>
  <c r="N9" i="8"/>
  <c r="L110" i="10" s="1"/>
  <c r="T11" i="8"/>
  <c r="R112" i="10" s="1"/>
  <c r="E8" i="8"/>
  <c r="C109" i="10" s="1"/>
  <c r="N8" i="8"/>
  <c r="L109" i="10" s="1"/>
  <c r="T10" i="8"/>
  <c r="R111" i="10" s="1"/>
  <c r="W9" i="8"/>
  <c r="U110" i="10" s="1"/>
  <c r="H9" i="8"/>
  <c r="F110" i="10" s="1"/>
  <c r="N10" i="8"/>
  <c r="L111" i="10" s="1"/>
  <c r="C51" i="8"/>
  <c r="Q8" i="8"/>
  <c r="O109" i="10" s="1"/>
  <c r="H8" i="8"/>
  <c r="F109" i="10" s="1"/>
  <c r="I119" i="10"/>
  <c r="Q26" i="11"/>
  <c r="Q27" i="11"/>
  <c r="S27" i="11"/>
  <c r="O27" i="11"/>
  <c r="R27" i="11"/>
  <c r="T21" i="11"/>
  <c r="T20" i="11"/>
  <c r="P25" i="11"/>
  <c r="O26" i="11"/>
  <c r="N25" i="11"/>
  <c r="R26" i="11"/>
  <c r="N27" i="11"/>
  <c r="T14" i="11"/>
  <c r="T15" i="11"/>
  <c r="T13" i="11"/>
  <c r="B133" i="10"/>
  <c r="G22" i="10"/>
  <c r="C22" i="10"/>
  <c r="F22" i="10"/>
  <c r="I22" i="10"/>
  <c r="E22" i="10"/>
  <c r="H22" i="10"/>
  <c r="D22" i="10"/>
  <c r="C3" i="1"/>
  <c r="B134" i="10"/>
  <c r="C3" i="5"/>
  <c r="C3" i="6"/>
  <c r="B135" i="10"/>
  <c r="C3" i="7"/>
  <c r="B136" i="10"/>
  <c r="H27" i="8"/>
  <c r="F27" i="8"/>
  <c r="E27" i="8"/>
  <c r="C27" i="8"/>
  <c r="T27" i="11" l="1"/>
  <c r="C31" i="11" s="1"/>
  <c r="C137" i="10" s="1"/>
  <c r="D137" i="10" s="1"/>
  <c r="T26" i="11"/>
  <c r="T25" i="11"/>
  <c r="H25" i="10"/>
  <c r="H23" i="10"/>
  <c r="E23" i="10"/>
  <c r="E25" i="10"/>
  <c r="C23" i="10"/>
  <c r="L30" i="7" s="1"/>
  <c r="C25" i="10"/>
  <c r="G25" i="10"/>
  <c r="G23" i="10"/>
  <c r="D23" i="10"/>
  <c r="D25" i="10"/>
  <c r="F23" i="10"/>
  <c r="F25" i="10"/>
  <c r="H35" i="8"/>
  <c r="I14" i="10"/>
  <c r="C131" i="10"/>
  <c r="D131" i="10" s="1"/>
  <c r="C126" i="10" l="1"/>
  <c r="D126" i="10" s="1"/>
  <c r="B64" i="10"/>
  <c r="B36" i="8" s="1"/>
  <c r="H33" i="8"/>
  <c r="F33" i="8"/>
  <c r="L30" i="5"/>
  <c r="L30" i="6"/>
  <c r="L30" i="1"/>
  <c r="Z9" i="8"/>
  <c r="X110" i="10" s="1"/>
  <c r="Z8" i="8"/>
  <c r="X109" i="10" s="1"/>
  <c r="Z11" i="8"/>
  <c r="X112" i="10" s="1"/>
  <c r="Z10" i="8"/>
  <c r="X111" i="10" s="1"/>
  <c r="L32" i="1"/>
  <c r="L32" i="6"/>
  <c r="L32" i="7"/>
  <c r="L32" i="5"/>
  <c r="L33" i="1"/>
  <c r="L33" i="7"/>
  <c r="L33" i="5"/>
  <c r="L33" i="6"/>
  <c r="L34" i="1"/>
  <c r="L34" i="7"/>
  <c r="L34" i="5"/>
  <c r="L34" i="6"/>
  <c r="L35" i="6"/>
  <c r="L35" i="7"/>
  <c r="L35" i="5"/>
  <c r="L31" i="1"/>
  <c r="L31" i="7"/>
  <c r="L31" i="5"/>
  <c r="L31" i="6"/>
  <c r="L35" i="1"/>
  <c r="C127" i="10" l="1"/>
  <c r="D127" i="10" s="1"/>
  <c r="C125" i="10"/>
  <c r="D125" i="10" s="1"/>
  <c r="H36" i="6"/>
  <c r="H36" i="5"/>
  <c r="H36" i="7"/>
  <c r="K54" i="6" l="1"/>
  <c r="K52" i="6"/>
  <c r="K50" i="6"/>
  <c r="K48" i="6"/>
  <c r="Y48" i="3" s="1"/>
  <c r="Z48" i="3" s="1"/>
  <c r="K46" i="6"/>
  <c r="K44" i="6"/>
  <c r="K42" i="6"/>
  <c r="K40" i="6"/>
  <c r="Y40" i="3" s="1"/>
  <c r="Z40" i="3" s="1"/>
  <c r="K54" i="5"/>
  <c r="K52" i="5"/>
  <c r="K50" i="5"/>
  <c r="K48" i="5"/>
  <c r="W48" i="3" s="1"/>
  <c r="X48" i="3" s="1"/>
  <c r="K46" i="5"/>
  <c r="K44" i="5"/>
  <c r="K42" i="5"/>
  <c r="K40" i="5"/>
  <c r="W40" i="3" s="1"/>
  <c r="X40" i="3" s="1"/>
  <c r="K54" i="7"/>
  <c r="K52" i="7"/>
  <c r="K50" i="7"/>
  <c r="K48" i="7"/>
  <c r="AA48" i="3" s="1"/>
  <c r="AB48" i="3" s="1"/>
  <c r="K46" i="7"/>
  <c r="K44" i="7"/>
  <c r="K42" i="7"/>
  <c r="AA42" i="3" s="1"/>
  <c r="AB42" i="3" s="1"/>
  <c r="K40" i="7"/>
  <c r="AA40" i="3" s="1"/>
  <c r="AB40" i="3" s="1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F54" i="7"/>
  <c r="H54" i="7" s="1"/>
  <c r="F52" i="7"/>
  <c r="H52" i="7" s="1"/>
  <c r="F50" i="7"/>
  <c r="H50" i="7" s="1"/>
  <c r="F48" i="7"/>
  <c r="H48" i="7" s="1"/>
  <c r="F46" i="7"/>
  <c r="H46" i="7" s="1"/>
  <c r="F44" i="7"/>
  <c r="H44" i="7" s="1"/>
  <c r="F42" i="7"/>
  <c r="H42" i="7" s="1"/>
  <c r="F40" i="7"/>
  <c r="H40" i="7" s="1"/>
  <c r="G55" i="6"/>
  <c r="F54" i="6"/>
  <c r="H54" i="6" s="1"/>
  <c r="F52" i="6"/>
  <c r="H52" i="6" s="1"/>
  <c r="F50" i="6"/>
  <c r="H50" i="6" s="1"/>
  <c r="F48" i="6"/>
  <c r="H48" i="6" s="1"/>
  <c r="F46" i="6"/>
  <c r="H46" i="6" s="1"/>
  <c r="F44" i="6"/>
  <c r="H44" i="6" s="1"/>
  <c r="F42" i="6"/>
  <c r="H42" i="6" s="1"/>
  <c r="F40" i="6"/>
  <c r="H40" i="6" s="1"/>
  <c r="F54" i="5"/>
  <c r="H54" i="5" s="1"/>
  <c r="F52" i="5"/>
  <c r="H52" i="5" s="1"/>
  <c r="F50" i="5"/>
  <c r="H50" i="5" s="1"/>
  <c r="F48" i="5"/>
  <c r="H48" i="5" s="1"/>
  <c r="F46" i="5"/>
  <c r="H46" i="5" s="1"/>
  <c r="F44" i="5"/>
  <c r="H44" i="5" s="1"/>
  <c r="F42" i="5"/>
  <c r="H42" i="5" s="1"/>
  <c r="F40" i="5"/>
  <c r="H40" i="5" s="1"/>
  <c r="F54" i="1"/>
  <c r="H54" i="1" s="1"/>
  <c r="F52" i="1"/>
  <c r="H52" i="1" s="1"/>
  <c r="F50" i="1"/>
  <c r="H50" i="1" s="1"/>
  <c r="F48" i="1"/>
  <c r="H48" i="1" s="1"/>
  <c r="F46" i="1"/>
  <c r="H46" i="1" s="1"/>
  <c r="F44" i="1"/>
  <c r="H44" i="1" s="1"/>
  <c r="F42" i="1"/>
  <c r="H42" i="1" s="1"/>
  <c r="F40" i="1"/>
  <c r="H40" i="1" s="1"/>
  <c r="K54" i="1"/>
  <c r="K50" i="1"/>
  <c r="U50" i="3" s="1"/>
  <c r="V50" i="3" s="1"/>
  <c r="K46" i="1"/>
  <c r="U46" i="3" s="1"/>
  <c r="V46" i="3" s="1"/>
  <c r="K42" i="1"/>
  <c r="K52" i="1"/>
  <c r="K48" i="1"/>
  <c r="U48" i="3" s="1"/>
  <c r="V48" i="3" s="1"/>
  <c r="K44" i="1"/>
  <c r="U44" i="3" s="1"/>
  <c r="V44" i="3" s="1"/>
  <c r="K40" i="1"/>
  <c r="I48" i="3"/>
  <c r="G48" i="7" s="1"/>
  <c r="J48" i="7" s="1"/>
  <c r="I49" i="3"/>
  <c r="G49" i="7" s="1"/>
  <c r="J49" i="7" s="1"/>
  <c r="I50" i="3"/>
  <c r="G50" i="7" s="1"/>
  <c r="J50" i="7" s="1"/>
  <c r="I51" i="3"/>
  <c r="G51" i="7" s="1"/>
  <c r="J51" i="7" s="1"/>
  <c r="I52" i="3"/>
  <c r="G52" i="7" s="1"/>
  <c r="J52" i="7" s="1"/>
  <c r="I53" i="3"/>
  <c r="G53" i="7" s="1"/>
  <c r="J53" i="7" s="1"/>
  <c r="I54" i="3"/>
  <c r="G54" i="7" s="1"/>
  <c r="J54" i="7" s="1"/>
  <c r="I40" i="3"/>
  <c r="G40" i="7" s="1"/>
  <c r="I41" i="3"/>
  <c r="G41" i="7" s="1"/>
  <c r="J41" i="7" s="1"/>
  <c r="I42" i="3"/>
  <c r="G42" i="7" s="1"/>
  <c r="I43" i="3"/>
  <c r="G43" i="7" s="1"/>
  <c r="J43" i="7" s="1"/>
  <c r="I44" i="3"/>
  <c r="G44" i="7" s="1"/>
  <c r="J44" i="7" s="1"/>
  <c r="I45" i="3"/>
  <c r="G45" i="7" s="1"/>
  <c r="J45" i="7" s="1"/>
  <c r="I46" i="3"/>
  <c r="G46" i="7" s="1"/>
  <c r="J46" i="7" s="1"/>
  <c r="H48" i="3"/>
  <c r="G48" i="6" s="1"/>
  <c r="J48" i="6" s="1"/>
  <c r="H49" i="3"/>
  <c r="G49" i="6" s="1"/>
  <c r="J49" i="6" s="1"/>
  <c r="H50" i="3"/>
  <c r="G50" i="6" s="1"/>
  <c r="J50" i="6" s="1"/>
  <c r="H51" i="3"/>
  <c r="G51" i="6" s="1"/>
  <c r="J51" i="6" s="1"/>
  <c r="H52" i="3"/>
  <c r="G52" i="6" s="1"/>
  <c r="J52" i="6" s="1"/>
  <c r="H53" i="3"/>
  <c r="G53" i="6" s="1"/>
  <c r="J53" i="6" s="1"/>
  <c r="H54" i="3"/>
  <c r="G54" i="6" s="1"/>
  <c r="J54" i="6" s="1"/>
  <c r="H40" i="3"/>
  <c r="G40" i="6" s="1"/>
  <c r="J40" i="6" s="1"/>
  <c r="H41" i="3"/>
  <c r="G41" i="6" s="1"/>
  <c r="J41" i="6" s="1"/>
  <c r="H42" i="3"/>
  <c r="G42" i="6" s="1"/>
  <c r="J42" i="6" s="1"/>
  <c r="H43" i="3"/>
  <c r="G43" i="6" s="1"/>
  <c r="J43" i="6" s="1"/>
  <c r="H44" i="3"/>
  <c r="G44" i="6" s="1"/>
  <c r="J44" i="6" s="1"/>
  <c r="H45" i="3"/>
  <c r="G45" i="6" s="1"/>
  <c r="J45" i="6" s="1"/>
  <c r="H46" i="3"/>
  <c r="G46" i="6" s="1"/>
  <c r="J46" i="6" s="1"/>
  <c r="G48" i="3"/>
  <c r="G48" i="5" s="1"/>
  <c r="J48" i="5" s="1"/>
  <c r="G49" i="3"/>
  <c r="G49" i="5" s="1"/>
  <c r="J49" i="5" s="1"/>
  <c r="G50" i="3"/>
  <c r="G50" i="5" s="1"/>
  <c r="G51" i="3"/>
  <c r="G51" i="5" s="1"/>
  <c r="J51" i="5" s="1"/>
  <c r="G52" i="3"/>
  <c r="G52" i="5" s="1"/>
  <c r="J52" i="5" s="1"/>
  <c r="G53" i="3"/>
  <c r="G53" i="5" s="1"/>
  <c r="G54" i="3"/>
  <c r="G54" i="5" s="1"/>
  <c r="J54" i="5" s="1"/>
  <c r="G40" i="3"/>
  <c r="G40" i="5" s="1"/>
  <c r="J40" i="5" s="1"/>
  <c r="G41" i="3"/>
  <c r="G41" i="5" s="1"/>
  <c r="G42" i="3"/>
  <c r="G42" i="5" s="1"/>
  <c r="J42" i="5" s="1"/>
  <c r="G43" i="3"/>
  <c r="G43" i="5" s="1"/>
  <c r="J43" i="5" s="1"/>
  <c r="G44" i="3"/>
  <c r="G44" i="5" s="1"/>
  <c r="J44" i="5" s="1"/>
  <c r="G45" i="3"/>
  <c r="G45" i="5" s="1"/>
  <c r="J45" i="5" s="1"/>
  <c r="G46" i="3"/>
  <c r="G46" i="5" s="1"/>
  <c r="J46" i="5" s="1"/>
  <c r="F48" i="3"/>
  <c r="G48" i="1" s="1"/>
  <c r="J48" i="1" s="1"/>
  <c r="F49" i="3"/>
  <c r="G49" i="1" s="1"/>
  <c r="J49" i="1" s="1"/>
  <c r="F50" i="3"/>
  <c r="G50" i="1" s="1"/>
  <c r="J50" i="1" s="1"/>
  <c r="F51" i="3"/>
  <c r="G51" i="1" s="1"/>
  <c r="J51" i="1" s="1"/>
  <c r="F52" i="3"/>
  <c r="G52" i="1" s="1"/>
  <c r="J52" i="1" s="1"/>
  <c r="F53" i="3"/>
  <c r="G53" i="1" s="1"/>
  <c r="J53" i="1" s="1"/>
  <c r="F54" i="3"/>
  <c r="G54" i="1" s="1"/>
  <c r="J54" i="1" s="1"/>
  <c r="F40" i="3"/>
  <c r="G40" i="1" s="1"/>
  <c r="J40" i="1" s="1"/>
  <c r="F41" i="3"/>
  <c r="G41" i="1" s="1"/>
  <c r="F42" i="3"/>
  <c r="G42" i="1" s="1"/>
  <c r="J42" i="1" s="1"/>
  <c r="F43" i="3"/>
  <c r="G43" i="1" s="1"/>
  <c r="J43" i="1" s="1"/>
  <c r="F44" i="3"/>
  <c r="G44" i="1" s="1"/>
  <c r="J44" i="1" s="1"/>
  <c r="F45" i="3"/>
  <c r="G45" i="1" s="1"/>
  <c r="J45" i="1" s="1"/>
  <c r="F46" i="3"/>
  <c r="G46" i="1" s="1"/>
  <c r="J46" i="1" s="1"/>
  <c r="AA44" i="3"/>
  <c r="AB44" i="3" s="1"/>
  <c r="AA46" i="3"/>
  <c r="AB46" i="3" s="1"/>
  <c r="AA50" i="3"/>
  <c r="AB50" i="3" s="1"/>
  <c r="AA52" i="3"/>
  <c r="AB52" i="3" s="1"/>
  <c r="AA54" i="3"/>
  <c r="AB54" i="3" s="1"/>
  <c r="Y42" i="3"/>
  <c r="Z42" i="3" s="1"/>
  <c r="Y44" i="3"/>
  <c r="Z44" i="3" s="1"/>
  <c r="Y46" i="3"/>
  <c r="Z46" i="3" s="1"/>
  <c r="Y50" i="3"/>
  <c r="Z50" i="3" s="1"/>
  <c r="Y52" i="3"/>
  <c r="Z52" i="3" s="1"/>
  <c r="Y54" i="3"/>
  <c r="Z54" i="3" s="1"/>
  <c r="W42" i="3"/>
  <c r="X42" i="3" s="1"/>
  <c r="W44" i="3"/>
  <c r="X44" i="3" s="1"/>
  <c r="W46" i="3"/>
  <c r="X46" i="3" s="1"/>
  <c r="W50" i="3"/>
  <c r="X50" i="3" s="1"/>
  <c r="W52" i="3"/>
  <c r="X52" i="3" s="1"/>
  <c r="W54" i="3"/>
  <c r="X54" i="3" s="1"/>
  <c r="U40" i="3"/>
  <c r="V40" i="3" s="1"/>
  <c r="U42" i="3"/>
  <c r="V42" i="3" s="1"/>
  <c r="U52" i="3"/>
  <c r="V52" i="3" s="1"/>
  <c r="U54" i="3"/>
  <c r="V54" i="3" s="1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I47" i="3"/>
  <c r="G47" i="7" s="1"/>
  <c r="J47" i="7" s="1"/>
  <c r="I39" i="3"/>
  <c r="H47" i="3"/>
  <c r="G47" i="6" s="1"/>
  <c r="J47" i="6" s="1"/>
  <c r="H39" i="3"/>
  <c r="G47" i="3"/>
  <c r="G47" i="5" s="1"/>
  <c r="J47" i="5" s="1"/>
  <c r="G39" i="3"/>
  <c r="F47" i="3"/>
  <c r="G47" i="1" s="1"/>
  <c r="J47" i="1" s="1"/>
  <c r="F39" i="3"/>
  <c r="J53" i="5" l="1"/>
  <c r="J50" i="5"/>
  <c r="J42" i="7"/>
  <c r="J40" i="7"/>
  <c r="J41" i="5"/>
  <c r="J41" i="1"/>
  <c r="G39" i="7"/>
  <c r="G39" i="5"/>
  <c r="G39" i="6" l="1"/>
  <c r="I18" i="7"/>
  <c r="I18" i="6"/>
  <c r="I18" i="5"/>
  <c r="I64" i="3" l="1"/>
  <c r="D214" i="3" s="1"/>
  <c r="I63" i="3"/>
  <c r="D196" i="3" s="1"/>
  <c r="I62" i="3"/>
  <c r="D178" i="3" s="1"/>
  <c r="I60" i="3"/>
  <c r="D213" i="3" s="1"/>
  <c r="I59" i="3"/>
  <c r="D195" i="3" s="1"/>
  <c r="I58" i="3"/>
  <c r="D177" i="3" s="1"/>
  <c r="D210" i="3"/>
  <c r="D209" i="3"/>
  <c r="D192" i="3"/>
  <c r="D191" i="3"/>
  <c r="D174" i="3"/>
  <c r="D173" i="3"/>
  <c r="D155" i="3"/>
  <c r="D113" i="3"/>
  <c r="D112" i="3"/>
  <c r="D111" i="3"/>
  <c r="Y18" i="3"/>
  <c r="Z18" i="3" s="1"/>
  <c r="AA18" i="3"/>
  <c r="AB18" i="3" s="1"/>
  <c r="Y20" i="3"/>
  <c r="Z20" i="3" s="1"/>
  <c r="AA20" i="3"/>
  <c r="AB20" i="3" s="1"/>
  <c r="Y21" i="3"/>
  <c r="Z21" i="3" s="1"/>
  <c r="AA21" i="3"/>
  <c r="AB21" i="3" s="1"/>
  <c r="Y22" i="3"/>
  <c r="Z22" i="3" s="1"/>
  <c r="AA22" i="3"/>
  <c r="AB22" i="3" s="1"/>
  <c r="Y30" i="3"/>
  <c r="Z30" i="3" s="1"/>
  <c r="AA30" i="3"/>
  <c r="AB30" i="3" s="1"/>
  <c r="Y31" i="3"/>
  <c r="Z31" i="3" s="1"/>
  <c r="AA31" i="3"/>
  <c r="AB31" i="3" s="1"/>
  <c r="Y32" i="3"/>
  <c r="Z32" i="3" s="1"/>
  <c r="AA32" i="3"/>
  <c r="AB32" i="3" s="1"/>
  <c r="Y33" i="3"/>
  <c r="Z33" i="3" s="1"/>
  <c r="AA33" i="3"/>
  <c r="AB33" i="3" s="1"/>
  <c r="Y34" i="3"/>
  <c r="Z34" i="3" s="1"/>
  <c r="AA34" i="3"/>
  <c r="AB34" i="3" s="1"/>
  <c r="Y35" i="3"/>
  <c r="Z35" i="3" s="1"/>
  <c r="AA35" i="3"/>
  <c r="AB35" i="3" s="1"/>
  <c r="W18" i="3"/>
  <c r="X18" i="3" s="1"/>
  <c r="W20" i="3"/>
  <c r="X20" i="3" s="1"/>
  <c r="W21" i="3"/>
  <c r="X21" i="3" s="1"/>
  <c r="W22" i="3"/>
  <c r="X22" i="3" s="1"/>
  <c r="W30" i="3"/>
  <c r="X30" i="3" s="1"/>
  <c r="W31" i="3"/>
  <c r="X31" i="3" s="1"/>
  <c r="W32" i="3"/>
  <c r="X32" i="3" s="1"/>
  <c r="W33" i="3"/>
  <c r="X33" i="3" s="1"/>
  <c r="W34" i="3"/>
  <c r="X34" i="3" s="1"/>
  <c r="W35" i="3"/>
  <c r="D95" i="7"/>
  <c r="D211" i="3" s="1"/>
  <c r="D94" i="7"/>
  <c r="D206" i="3"/>
  <c r="E91" i="7" s="1"/>
  <c r="D205" i="3"/>
  <c r="E90" i="7" s="1"/>
  <c r="D204" i="3"/>
  <c r="E89" i="7" s="1"/>
  <c r="D203" i="3"/>
  <c r="E88" i="7" s="1"/>
  <c r="D87" i="7"/>
  <c r="E84" i="7"/>
  <c r="E83" i="7"/>
  <c r="E82" i="7"/>
  <c r="E81" i="7"/>
  <c r="C76" i="7"/>
  <c r="H71" i="7"/>
  <c r="H70" i="7"/>
  <c r="H69" i="7"/>
  <c r="H68" i="7"/>
  <c r="H67" i="7"/>
  <c r="H66" i="7"/>
  <c r="H65" i="7"/>
  <c r="H64" i="7"/>
  <c r="H63" i="7"/>
  <c r="G60" i="7"/>
  <c r="F60" i="7"/>
  <c r="D60" i="7"/>
  <c r="G59" i="7"/>
  <c r="F59" i="7"/>
  <c r="H59" i="7" s="1"/>
  <c r="G58" i="7"/>
  <c r="F58" i="7"/>
  <c r="H58" i="7" s="1"/>
  <c r="G57" i="7"/>
  <c r="F57" i="7"/>
  <c r="H57" i="7" s="1"/>
  <c r="K55" i="7"/>
  <c r="AA55" i="3" s="1"/>
  <c r="AB55" i="3" s="1"/>
  <c r="I55" i="7"/>
  <c r="G55" i="7"/>
  <c r="F55" i="7"/>
  <c r="H55" i="7" s="1"/>
  <c r="K53" i="7"/>
  <c r="AA53" i="3" s="1"/>
  <c r="AB53" i="3" s="1"/>
  <c r="F53" i="7"/>
  <c r="H53" i="7" s="1"/>
  <c r="K51" i="7"/>
  <c r="AA51" i="3" s="1"/>
  <c r="AB51" i="3" s="1"/>
  <c r="F51" i="7"/>
  <c r="H51" i="7" s="1"/>
  <c r="K49" i="7"/>
  <c r="AA49" i="3" s="1"/>
  <c r="AB49" i="3" s="1"/>
  <c r="F49" i="7"/>
  <c r="H49" i="7" s="1"/>
  <c r="K47" i="7"/>
  <c r="AA47" i="3" s="1"/>
  <c r="AB47" i="3" s="1"/>
  <c r="F47" i="7"/>
  <c r="H47" i="7" s="1"/>
  <c r="K45" i="7"/>
  <c r="AA45" i="3" s="1"/>
  <c r="AB45" i="3" s="1"/>
  <c r="F45" i="7"/>
  <c r="H45" i="7" s="1"/>
  <c r="K43" i="7"/>
  <c r="AA43" i="3" s="1"/>
  <c r="AB43" i="3" s="1"/>
  <c r="F43" i="7"/>
  <c r="H43" i="7" s="1"/>
  <c r="K41" i="7"/>
  <c r="AA41" i="3" s="1"/>
  <c r="F41" i="7"/>
  <c r="H41" i="7" s="1"/>
  <c r="K39" i="7"/>
  <c r="AA39" i="3" s="1"/>
  <c r="AB39" i="3" s="1"/>
  <c r="I39" i="7"/>
  <c r="F39" i="7"/>
  <c r="H39" i="7" s="1"/>
  <c r="K37" i="7"/>
  <c r="AA37" i="3" s="1"/>
  <c r="AB37" i="3" s="1"/>
  <c r="G37" i="7"/>
  <c r="J37" i="7" s="1"/>
  <c r="F37" i="7"/>
  <c r="G34" i="7"/>
  <c r="F34" i="7"/>
  <c r="G33" i="7"/>
  <c r="F33" i="7"/>
  <c r="G32" i="7"/>
  <c r="F32" i="7"/>
  <c r="G31" i="7"/>
  <c r="F31" i="7"/>
  <c r="G30" i="7"/>
  <c r="F30" i="7"/>
  <c r="K29" i="7"/>
  <c r="AA29" i="3" s="1"/>
  <c r="AB29" i="3" s="1"/>
  <c r="G29" i="7"/>
  <c r="F29" i="7"/>
  <c r="H29" i="7" s="1"/>
  <c r="K28" i="7"/>
  <c r="AA28" i="3" s="1"/>
  <c r="AB28" i="3" s="1"/>
  <c r="G28" i="7"/>
  <c r="F28" i="7"/>
  <c r="H28" i="7" s="1"/>
  <c r="K27" i="7"/>
  <c r="AA27" i="3" s="1"/>
  <c r="AB27" i="3" s="1"/>
  <c r="G27" i="7"/>
  <c r="F27" i="7"/>
  <c r="H27" i="7" s="1"/>
  <c r="K26" i="7"/>
  <c r="AA26" i="3" s="1"/>
  <c r="AB26" i="3" s="1"/>
  <c r="G26" i="7"/>
  <c r="F26" i="7"/>
  <c r="H26" i="7" s="1"/>
  <c r="K25" i="7"/>
  <c r="AA25" i="3" s="1"/>
  <c r="AB25" i="3" s="1"/>
  <c r="G25" i="7"/>
  <c r="F25" i="7"/>
  <c r="H25" i="7" s="1"/>
  <c r="K24" i="7"/>
  <c r="AA24" i="3" s="1"/>
  <c r="AB24" i="3" s="1"/>
  <c r="G24" i="7"/>
  <c r="F24" i="7"/>
  <c r="H24" i="7" s="1"/>
  <c r="G22" i="7"/>
  <c r="J22" i="7" s="1"/>
  <c r="F22" i="7"/>
  <c r="G21" i="7"/>
  <c r="J21" i="7" s="1"/>
  <c r="F21" i="7"/>
  <c r="G20" i="7"/>
  <c r="J20" i="7" s="1"/>
  <c r="F20" i="7"/>
  <c r="K19" i="7"/>
  <c r="AA19" i="3" s="1"/>
  <c r="AB19" i="3" s="1"/>
  <c r="I19" i="7"/>
  <c r="G19" i="7"/>
  <c r="F19" i="7"/>
  <c r="H19" i="7" s="1"/>
  <c r="I58" i="7"/>
  <c r="G18" i="7"/>
  <c r="F18" i="7"/>
  <c r="K17" i="7"/>
  <c r="AA17" i="3" s="1"/>
  <c r="AB17" i="3" s="1"/>
  <c r="G17" i="7"/>
  <c r="F17" i="7"/>
  <c r="H17" i="7" s="1"/>
  <c r="K16" i="7"/>
  <c r="AA16" i="3" s="1"/>
  <c r="AB16" i="3" s="1"/>
  <c r="G16" i="7"/>
  <c r="F16" i="7"/>
  <c r="H16" i="7" s="1"/>
  <c r="K15" i="7"/>
  <c r="AA15" i="3" s="1"/>
  <c r="AB15" i="3" s="1"/>
  <c r="G15" i="7"/>
  <c r="F15" i="7"/>
  <c r="H15" i="7" s="1"/>
  <c r="K14" i="7"/>
  <c r="AA14" i="3" s="1"/>
  <c r="AB14" i="3" s="1"/>
  <c r="G14" i="7"/>
  <c r="F14" i="7"/>
  <c r="H14" i="7" s="1"/>
  <c r="K13" i="7"/>
  <c r="AA13" i="3" s="1"/>
  <c r="AB13" i="3" s="1"/>
  <c r="G13" i="7"/>
  <c r="F13" i="7"/>
  <c r="H13" i="7" s="1"/>
  <c r="K12" i="7"/>
  <c r="AA12" i="3" s="1"/>
  <c r="AB12" i="3" s="1"/>
  <c r="G12" i="7"/>
  <c r="F12" i="7"/>
  <c r="H12" i="7" s="1"/>
  <c r="K11" i="7"/>
  <c r="AA11" i="3" s="1"/>
  <c r="AB11" i="3" s="1"/>
  <c r="G11" i="7"/>
  <c r="F11" i="7"/>
  <c r="H11" i="7" s="1"/>
  <c r="K10" i="7"/>
  <c r="AA10" i="3" s="1"/>
  <c r="AB10" i="3" s="1"/>
  <c r="G10" i="7"/>
  <c r="F10" i="7"/>
  <c r="H10" i="7" s="1"/>
  <c r="K9" i="7"/>
  <c r="AA9" i="3" s="1"/>
  <c r="AB9" i="3" s="1"/>
  <c r="G9" i="7"/>
  <c r="F9" i="7"/>
  <c r="H9" i="7" s="1"/>
  <c r="K8" i="7"/>
  <c r="G8" i="7"/>
  <c r="F8" i="7"/>
  <c r="H8" i="7" s="1"/>
  <c r="D95" i="6"/>
  <c r="D193" i="3" s="1"/>
  <c r="D94" i="6"/>
  <c r="D188" i="3"/>
  <c r="E91" i="6" s="1"/>
  <c r="D187" i="3"/>
  <c r="E90" i="6" s="1"/>
  <c r="D186" i="3"/>
  <c r="E89" i="6" s="1"/>
  <c r="D185" i="3"/>
  <c r="E88" i="6" s="1"/>
  <c r="D87" i="6"/>
  <c r="E84" i="6"/>
  <c r="E83" i="6"/>
  <c r="E82" i="6"/>
  <c r="E81" i="6"/>
  <c r="C76" i="6"/>
  <c r="H71" i="6"/>
  <c r="H70" i="6"/>
  <c r="H69" i="6"/>
  <c r="H68" i="6"/>
  <c r="H67" i="6"/>
  <c r="H66" i="6"/>
  <c r="H65" i="6"/>
  <c r="H64" i="6"/>
  <c r="H63" i="6"/>
  <c r="G60" i="6"/>
  <c r="F60" i="6"/>
  <c r="D60" i="6"/>
  <c r="G59" i="6"/>
  <c r="F59" i="6"/>
  <c r="H59" i="6" s="1"/>
  <c r="G58" i="6"/>
  <c r="F58" i="6"/>
  <c r="H58" i="6" s="1"/>
  <c r="G57" i="6"/>
  <c r="F57" i="6"/>
  <c r="H57" i="6" s="1"/>
  <c r="K55" i="6"/>
  <c r="Y55" i="3" s="1"/>
  <c r="Z55" i="3" s="1"/>
  <c r="I55" i="6"/>
  <c r="J55" i="6" s="1"/>
  <c r="F55" i="6"/>
  <c r="H55" i="6" s="1"/>
  <c r="K53" i="6"/>
  <c r="Y53" i="3" s="1"/>
  <c r="Z53" i="3" s="1"/>
  <c r="F53" i="6"/>
  <c r="H53" i="6" s="1"/>
  <c r="K51" i="6"/>
  <c r="Y51" i="3" s="1"/>
  <c r="Z51" i="3" s="1"/>
  <c r="F51" i="6"/>
  <c r="H51" i="6" s="1"/>
  <c r="K49" i="6"/>
  <c r="Y49" i="3" s="1"/>
  <c r="Z49" i="3" s="1"/>
  <c r="F49" i="6"/>
  <c r="H49" i="6" s="1"/>
  <c r="K47" i="6"/>
  <c r="Y47" i="3" s="1"/>
  <c r="Z47" i="3" s="1"/>
  <c r="F47" i="6"/>
  <c r="H47" i="6" s="1"/>
  <c r="K45" i="6"/>
  <c r="Y45" i="3" s="1"/>
  <c r="Z45" i="3" s="1"/>
  <c r="F45" i="6"/>
  <c r="H45" i="6" s="1"/>
  <c r="K43" i="6"/>
  <c r="Y43" i="3" s="1"/>
  <c r="Z43" i="3" s="1"/>
  <c r="F43" i="6"/>
  <c r="H43" i="6" s="1"/>
  <c r="K41" i="6"/>
  <c r="Y41" i="3" s="1"/>
  <c r="F41" i="6"/>
  <c r="H41" i="6" s="1"/>
  <c r="K39" i="6"/>
  <c r="Y39" i="3" s="1"/>
  <c r="Z39" i="3" s="1"/>
  <c r="I39" i="6"/>
  <c r="F39" i="6"/>
  <c r="H39" i="6" s="1"/>
  <c r="K37" i="6"/>
  <c r="Y37" i="3" s="1"/>
  <c r="Z37" i="3" s="1"/>
  <c r="G37" i="6"/>
  <c r="J37" i="6" s="1"/>
  <c r="F37" i="6"/>
  <c r="G34" i="6"/>
  <c r="F34" i="6"/>
  <c r="G33" i="6"/>
  <c r="F33" i="6"/>
  <c r="G32" i="6"/>
  <c r="F32" i="6"/>
  <c r="G31" i="6"/>
  <c r="F31" i="6"/>
  <c r="G30" i="6"/>
  <c r="F30" i="6"/>
  <c r="K29" i="6"/>
  <c r="Y29" i="3" s="1"/>
  <c r="Z29" i="3" s="1"/>
  <c r="G29" i="6"/>
  <c r="F29" i="6"/>
  <c r="H29" i="6" s="1"/>
  <c r="K28" i="6"/>
  <c r="Y28" i="3" s="1"/>
  <c r="Z28" i="3" s="1"/>
  <c r="G28" i="6"/>
  <c r="F28" i="6"/>
  <c r="H28" i="6" s="1"/>
  <c r="K27" i="6"/>
  <c r="Y27" i="3" s="1"/>
  <c r="Z27" i="3" s="1"/>
  <c r="G27" i="6"/>
  <c r="F27" i="6"/>
  <c r="H27" i="6" s="1"/>
  <c r="K26" i="6"/>
  <c r="Y26" i="3" s="1"/>
  <c r="Z26" i="3" s="1"/>
  <c r="G26" i="6"/>
  <c r="F26" i="6"/>
  <c r="H26" i="6" s="1"/>
  <c r="K25" i="6"/>
  <c r="Y25" i="3" s="1"/>
  <c r="Z25" i="3" s="1"/>
  <c r="G25" i="6"/>
  <c r="F25" i="6"/>
  <c r="H25" i="6" s="1"/>
  <c r="K24" i="6"/>
  <c r="Y24" i="3" s="1"/>
  <c r="Z24" i="3" s="1"/>
  <c r="G24" i="6"/>
  <c r="F24" i="6"/>
  <c r="H24" i="6" s="1"/>
  <c r="G22" i="6"/>
  <c r="J22" i="6" s="1"/>
  <c r="F22" i="6"/>
  <c r="G21" i="6"/>
  <c r="J21" i="6" s="1"/>
  <c r="F21" i="6"/>
  <c r="G20" i="6"/>
  <c r="J20" i="6" s="1"/>
  <c r="F20" i="6"/>
  <c r="K19" i="6"/>
  <c r="Y19" i="3" s="1"/>
  <c r="Z19" i="3" s="1"/>
  <c r="I19" i="6"/>
  <c r="G19" i="6"/>
  <c r="F19" i="6"/>
  <c r="H19" i="6" s="1"/>
  <c r="I58" i="6"/>
  <c r="G18" i="6"/>
  <c r="F18" i="6"/>
  <c r="K17" i="6"/>
  <c r="Y17" i="3" s="1"/>
  <c r="Z17" i="3" s="1"/>
  <c r="G17" i="6"/>
  <c r="F17" i="6"/>
  <c r="H17" i="6" s="1"/>
  <c r="K16" i="6"/>
  <c r="Y16" i="3" s="1"/>
  <c r="Z16" i="3" s="1"/>
  <c r="G16" i="6"/>
  <c r="F16" i="6"/>
  <c r="H16" i="6" s="1"/>
  <c r="K15" i="6"/>
  <c r="Y15" i="3" s="1"/>
  <c r="Z15" i="3" s="1"/>
  <c r="G15" i="6"/>
  <c r="F15" i="6"/>
  <c r="H15" i="6" s="1"/>
  <c r="K14" i="6"/>
  <c r="Y14" i="3" s="1"/>
  <c r="Z14" i="3" s="1"/>
  <c r="G14" i="6"/>
  <c r="F14" i="6"/>
  <c r="H14" i="6" s="1"/>
  <c r="K13" i="6"/>
  <c r="Y13" i="3" s="1"/>
  <c r="Z13" i="3" s="1"/>
  <c r="G13" i="6"/>
  <c r="F13" i="6"/>
  <c r="H13" i="6" s="1"/>
  <c r="K12" i="6"/>
  <c r="Y12" i="3" s="1"/>
  <c r="Z12" i="3" s="1"/>
  <c r="G12" i="6"/>
  <c r="F12" i="6"/>
  <c r="H12" i="6" s="1"/>
  <c r="K11" i="6"/>
  <c r="Y11" i="3" s="1"/>
  <c r="Z11" i="3" s="1"/>
  <c r="G11" i="6"/>
  <c r="F11" i="6"/>
  <c r="H11" i="6" s="1"/>
  <c r="K10" i="6"/>
  <c r="Y10" i="3" s="1"/>
  <c r="Z10" i="3" s="1"/>
  <c r="G10" i="6"/>
  <c r="F10" i="6"/>
  <c r="H10" i="6" s="1"/>
  <c r="K9" i="6"/>
  <c r="Y9" i="3" s="1"/>
  <c r="Z9" i="3" s="1"/>
  <c r="G9" i="6"/>
  <c r="F9" i="6"/>
  <c r="H9" i="6" s="1"/>
  <c r="K8" i="6"/>
  <c r="G8" i="6"/>
  <c r="F8" i="6"/>
  <c r="H8" i="6" s="1"/>
  <c r="D95" i="5"/>
  <c r="D175" i="3" s="1"/>
  <c r="D94" i="5"/>
  <c r="D170" i="3"/>
  <c r="E91" i="5" s="1"/>
  <c r="D169" i="3"/>
  <c r="E90" i="5" s="1"/>
  <c r="D168" i="3"/>
  <c r="E89" i="5" s="1"/>
  <c r="D167" i="3"/>
  <c r="E88" i="5" s="1"/>
  <c r="D87" i="5"/>
  <c r="E84" i="5"/>
  <c r="E83" i="5"/>
  <c r="E82" i="5"/>
  <c r="E81" i="5"/>
  <c r="C76" i="5"/>
  <c r="H71" i="5"/>
  <c r="H70" i="5"/>
  <c r="H69" i="5"/>
  <c r="H68" i="5"/>
  <c r="H67" i="5"/>
  <c r="H66" i="5"/>
  <c r="H65" i="5"/>
  <c r="H64" i="5"/>
  <c r="H63" i="5"/>
  <c r="G60" i="5"/>
  <c r="F60" i="5"/>
  <c r="D60" i="5"/>
  <c r="G59" i="5"/>
  <c r="F59" i="5"/>
  <c r="H59" i="5" s="1"/>
  <c r="G58" i="5"/>
  <c r="F58" i="5"/>
  <c r="H58" i="5" s="1"/>
  <c r="G57" i="5"/>
  <c r="F57" i="5"/>
  <c r="H57" i="5" s="1"/>
  <c r="K55" i="5"/>
  <c r="W55" i="3" s="1"/>
  <c r="X55" i="3" s="1"/>
  <c r="I55" i="5"/>
  <c r="G55" i="5"/>
  <c r="F55" i="5"/>
  <c r="H55" i="5" s="1"/>
  <c r="K53" i="5"/>
  <c r="W53" i="3" s="1"/>
  <c r="X53" i="3" s="1"/>
  <c r="F53" i="5"/>
  <c r="H53" i="5" s="1"/>
  <c r="K51" i="5"/>
  <c r="W51" i="3" s="1"/>
  <c r="X51" i="3" s="1"/>
  <c r="F51" i="5"/>
  <c r="H51" i="5" s="1"/>
  <c r="K49" i="5"/>
  <c r="W49" i="3" s="1"/>
  <c r="X49" i="3" s="1"/>
  <c r="F49" i="5"/>
  <c r="H49" i="5" s="1"/>
  <c r="K47" i="5"/>
  <c r="W47" i="3" s="1"/>
  <c r="X47" i="3" s="1"/>
  <c r="F47" i="5"/>
  <c r="H47" i="5" s="1"/>
  <c r="K45" i="5"/>
  <c r="W45" i="3" s="1"/>
  <c r="X45" i="3" s="1"/>
  <c r="F45" i="5"/>
  <c r="H45" i="5" s="1"/>
  <c r="K43" i="5"/>
  <c r="W43" i="3" s="1"/>
  <c r="X43" i="3" s="1"/>
  <c r="F43" i="5"/>
  <c r="H43" i="5" s="1"/>
  <c r="K41" i="5"/>
  <c r="W41" i="3" s="1"/>
  <c r="F41" i="5"/>
  <c r="H41" i="5" s="1"/>
  <c r="K39" i="5"/>
  <c r="W39" i="3" s="1"/>
  <c r="X39" i="3" s="1"/>
  <c r="I39" i="5"/>
  <c r="F39" i="5"/>
  <c r="H39" i="5" s="1"/>
  <c r="K37" i="5"/>
  <c r="W37" i="3" s="1"/>
  <c r="X37" i="3" s="1"/>
  <c r="G37" i="5"/>
  <c r="J37" i="5" s="1"/>
  <c r="F37" i="5"/>
  <c r="H37" i="5" s="1"/>
  <c r="G34" i="5"/>
  <c r="F34" i="5"/>
  <c r="H34" i="5" s="1"/>
  <c r="G33" i="5"/>
  <c r="F33" i="5"/>
  <c r="H33" i="5" s="1"/>
  <c r="G32" i="5"/>
  <c r="F32" i="5"/>
  <c r="G31" i="5"/>
  <c r="F31" i="5"/>
  <c r="G30" i="5"/>
  <c r="F30" i="5"/>
  <c r="H30" i="5" s="1"/>
  <c r="K29" i="5"/>
  <c r="W29" i="3" s="1"/>
  <c r="X29" i="3" s="1"/>
  <c r="G29" i="5"/>
  <c r="F29" i="5"/>
  <c r="H29" i="5" s="1"/>
  <c r="K28" i="5"/>
  <c r="W28" i="3" s="1"/>
  <c r="X28" i="3" s="1"/>
  <c r="G28" i="5"/>
  <c r="F28" i="5"/>
  <c r="H28" i="5" s="1"/>
  <c r="K27" i="5"/>
  <c r="W27" i="3" s="1"/>
  <c r="X27" i="3" s="1"/>
  <c r="G27" i="5"/>
  <c r="F27" i="5"/>
  <c r="H27" i="5" s="1"/>
  <c r="K26" i="5"/>
  <c r="W26" i="3" s="1"/>
  <c r="X26" i="3" s="1"/>
  <c r="G26" i="5"/>
  <c r="F26" i="5"/>
  <c r="H26" i="5" s="1"/>
  <c r="K25" i="5"/>
  <c r="W25" i="3" s="1"/>
  <c r="X25" i="3" s="1"/>
  <c r="G25" i="5"/>
  <c r="F25" i="5"/>
  <c r="H25" i="5" s="1"/>
  <c r="K24" i="5"/>
  <c r="W24" i="3" s="1"/>
  <c r="X24" i="3" s="1"/>
  <c r="G24" i="5"/>
  <c r="F24" i="5"/>
  <c r="H24" i="5" s="1"/>
  <c r="G22" i="5"/>
  <c r="J22" i="5" s="1"/>
  <c r="F22" i="5"/>
  <c r="G21" i="5"/>
  <c r="J21" i="5" s="1"/>
  <c r="F21" i="5"/>
  <c r="G20" i="5"/>
  <c r="J20" i="5" s="1"/>
  <c r="F20" i="5"/>
  <c r="H20" i="5" s="1"/>
  <c r="K19" i="5"/>
  <c r="W19" i="3" s="1"/>
  <c r="X19" i="3" s="1"/>
  <c r="I19" i="5"/>
  <c r="G19" i="5"/>
  <c r="F19" i="5"/>
  <c r="H19" i="5" s="1"/>
  <c r="G18" i="5"/>
  <c r="F18" i="5"/>
  <c r="H18" i="5" s="1"/>
  <c r="K17" i="5"/>
  <c r="W17" i="3" s="1"/>
  <c r="X17" i="3" s="1"/>
  <c r="G17" i="5"/>
  <c r="F17" i="5"/>
  <c r="H17" i="5" s="1"/>
  <c r="K16" i="5"/>
  <c r="W16" i="3" s="1"/>
  <c r="X16" i="3" s="1"/>
  <c r="G16" i="5"/>
  <c r="F16" i="5"/>
  <c r="H16" i="5" s="1"/>
  <c r="K15" i="5"/>
  <c r="W15" i="3" s="1"/>
  <c r="X15" i="3" s="1"/>
  <c r="G15" i="5"/>
  <c r="F15" i="5"/>
  <c r="H15" i="5" s="1"/>
  <c r="K14" i="5"/>
  <c r="W14" i="3" s="1"/>
  <c r="X14" i="3" s="1"/>
  <c r="G14" i="5"/>
  <c r="F14" i="5"/>
  <c r="H14" i="5" s="1"/>
  <c r="K13" i="5"/>
  <c r="W13" i="3" s="1"/>
  <c r="X13" i="3" s="1"/>
  <c r="G13" i="5"/>
  <c r="F13" i="5"/>
  <c r="H13" i="5" s="1"/>
  <c r="K12" i="5"/>
  <c r="W12" i="3" s="1"/>
  <c r="X12" i="3" s="1"/>
  <c r="G12" i="5"/>
  <c r="F12" i="5"/>
  <c r="H12" i="5" s="1"/>
  <c r="K11" i="5"/>
  <c r="W11" i="3" s="1"/>
  <c r="X11" i="3" s="1"/>
  <c r="G11" i="5"/>
  <c r="F11" i="5"/>
  <c r="H11" i="5" s="1"/>
  <c r="K10" i="5"/>
  <c r="W10" i="3" s="1"/>
  <c r="X10" i="3" s="1"/>
  <c r="G10" i="5"/>
  <c r="F10" i="5"/>
  <c r="H10" i="5" s="1"/>
  <c r="K9" i="5"/>
  <c r="W9" i="3" s="1"/>
  <c r="X9" i="3" s="1"/>
  <c r="G9" i="5"/>
  <c r="F9" i="5"/>
  <c r="H9" i="5" s="1"/>
  <c r="K8" i="5"/>
  <c r="G8" i="5"/>
  <c r="F8" i="5"/>
  <c r="H8" i="5" s="1"/>
  <c r="C76" i="1"/>
  <c r="H21" i="5" l="1"/>
  <c r="W8" i="3"/>
  <c r="Y8" i="3"/>
  <c r="AA8" i="3"/>
  <c r="E95" i="6"/>
  <c r="H22" i="5"/>
  <c r="E95" i="5"/>
  <c r="E95" i="7"/>
  <c r="H31" i="5"/>
  <c r="H32" i="5"/>
  <c r="X35" i="3"/>
  <c r="H35" i="5"/>
  <c r="Z41" i="3"/>
  <c r="X41" i="3"/>
  <c r="AB41" i="3"/>
  <c r="J55" i="7"/>
  <c r="J58" i="7"/>
  <c r="H60" i="6"/>
  <c r="H60" i="5"/>
  <c r="J18" i="6"/>
  <c r="J19" i="7"/>
  <c r="J58" i="6"/>
  <c r="J19" i="6"/>
  <c r="J18" i="7"/>
  <c r="H60" i="7"/>
  <c r="I58" i="5"/>
  <c r="J58" i="5" s="1"/>
  <c r="Q8" i="3"/>
  <c r="I8" i="5" s="1"/>
  <c r="J18" i="5"/>
  <c r="J19" i="5"/>
  <c r="J55" i="5"/>
  <c r="R8" i="3"/>
  <c r="I8" i="6" s="1"/>
  <c r="S8" i="3"/>
  <c r="I8" i="7" s="1"/>
  <c r="K55" i="1"/>
  <c r="K53" i="1"/>
  <c r="U53" i="3" s="1"/>
  <c r="V53" i="3" s="1"/>
  <c r="K51" i="1"/>
  <c r="U51" i="3" s="1"/>
  <c r="V51" i="3" s="1"/>
  <c r="K49" i="1"/>
  <c r="U49" i="3" s="1"/>
  <c r="V49" i="3" s="1"/>
  <c r="K47" i="1"/>
  <c r="U47" i="3" s="1"/>
  <c r="V47" i="3" s="1"/>
  <c r="K45" i="1"/>
  <c r="U45" i="3" s="1"/>
  <c r="V45" i="3" s="1"/>
  <c r="K43" i="1"/>
  <c r="U43" i="3" s="1"/>
  <c r="V43" i="3" s="1"/>
  <c r="K39" i="1"/>
  <c r="K41" i="1"/>
  <c r="U41" i="3" s="1"/>
  <c r="V41" i="3" s="1"/>
  <c r="AB8" i="3" l="1"/>
  <c r="D101" i="7"/>
  <c r="Z8" i="3"/>
  <c r="D100" i="6"/>
  <c r="X8" i="3"/>
  <c r="D101" i="5"/>
  <c r="D92" i="5"/>
  <c r="D176" i="3"/>
  <c r="D212" i="3"/>
  <c r="D92" i="7"/>
  <c r="D92" i="6"/>
  <c r="D194" i="3"/>
  <c r="D87" i="1"/>
  <c r="G37" i="1"/>
  <c r="J37" i="1" s="1"/>
  <c r="F37" i="1"/>
  <c r="U37" i="3"/>
  <c r="L55" i="3"/>
  <c r="L39" i="3"/>
  <c r="L9" i="3"/>
  <c r="L10" i="3"/>
  <c r="L11" i="3"/>
  <c r="L12" i="3"/>
  <c r="L13" i="3"/>
  <c r="L14" i="3"/>
  <c r="L15" i="3"/>
  <c r="L16" i="3"/>
  <c r="L17" i="3"/>
  <c r="L18" i="3"/>
  <c r="L8" i="3"/>
  <c r="L35" i="3"/>
  <c r="L37" i="3"/>
  <c r="L24" i="3"/>
  <c r="L25" i="3"/>
  <c r="L26" i="3"/>
  <c r="L27" i="3"/>
  <c r="L28" i="3"/>
  <c r="L29" i="3"/>
  <c r="L30" i="3"/>
  <c r="L31" i="3"/>
  <c r="L32" i="3"/>
  <c r="L33" i="3"/>
  <c r="L34" i="3"/>
  <c r="L22" i="3"/>
  <c r="L19" i="3"/>
  <c r="L20" i="3"/>
  <c r="L21" i="3"/>
  <c r="AO54" i="3" l="1"/>
  <c r="AO13" i="3"/>
  <c r="AO53" i="3"/>
  <c r="AO41" i="3"/>
  <c r="AO27" i="3"/>
  <c r="AO46" i="3"/>
  <c r="AO42" i="3"/>
  <c r="AO45" i="3"/>
  <c r="AO50" i="3"/>
  <c r="AO25" i="3"/>
  <c r="AO29" i="3"/>
  <c r="AO49" i="3"/>
  <c r="AO15" i="3"/>
  <c r="AO9" i="3"/>
  <c r="AO11" i="3"/>
  <c r="AO17" i="3"/>
  <c r="AL50" i="3"/>
  <c r="AL9" i="3"/>
  <c r="AL41" i="3"/>
  <c r="AL46" i="3"/>
  <c r="AL45" i="3"/>
  <c r="AL42" i="3"/>
  <c r="AL53" i="3"/>
  <c r="AL17" i="3"/>
  <c r="AL29" i="3"/>
  <c r="AL15" i="3"/>
  <c r="AL25" i="3"/>
  <c r="AL13" i="3"/>
  <c r="AL11" i="3"/>
  <c r="AL49" i="3"/>
  <c r="AL54" i="3"/>
  <c r="AL27" i="3"/>
  <c r="AI54" i="3"/>
  <c r="AI53" i="3"/>
  <c r="AI9" i="3"/>
  <c r="AI11" i="3"/>
  <c r="AI41" i="3"/>
  <c r="AI46" i="3"/>
  <c r="AI45" i="3"/>
  <c r="AI50" i="3"/>
  <c r="AI49" i="3"/>
  <c r="AI29" i="3"/>
  <c r="AI27" i="3"/>
  <c r="AI42" i="3"/>
  <c r="AI15" i="3"/>
  <c r="AI13" i="3"/>
  <c r="AI25" i="3"/>
  <c r="AI17" i="3"/>
  <c r="V37" i="3"/>
  <c r="H37" i="7"/>
  <c r="H37" i="6"/>
  <c r="H37" i="1"/>
  <c r="D156" i="3"/>
  <c r="D127" i="3"/>
  <c r="D110" i="3"/>
  <c r="D79" i="3"/>
  <c r="I61" i="3"/>
  <c r="I57" i="3"/>
  <c r="U55" i="3"/>
  <c r="V55" i="3" s="1"/>
  <c r="U39" i="3"/>
  <c r="V39" i="3" s="1"/>
  <c r="U35" i="3"/>
  <c r="U34" i="3"/>
  <c r="U33" i="3"/>
  <c r="U32" i="3"/>
  <c r="U31" i="3"/>
  <c r="U30" i="3"/>
  <c r="U22" i="3"/>
  <c r="U21" i="3"/>
  <c r="U20" i="3"/>
  <c r="U18" i="3"/>
  <c r="V18" i="3" l="1"/>
  <c r="H18" i="7"/>
  <c r="H18" i="6"/>
  <c r="V34" i="3"/>
  <c r="H34" i="6"/>
  <c r="H34" i="7"/>
  <c r="V20" i="3"/>
  <c r="H20" i="6"/>
  <c r="H20" i="7"/>
  <c r="V31" i="3"/>
  <c r="H31" i="7"/>
  <c r="H31" i="6"/>
  <c r="V35" i="3"/>
  <c r="H35" i="6"/>
  <c r="H35" i="7"/>
  <c r="V21" i="3"/>
  <c r="H21" i="6"/>
  <c r="H21" i="7"/>
  <c r="V32" i="3"/>
  <c r="H32" i="7"/>
  <c r="H32" i="6"/>
  <c r="J39" i="7"/>
  <c r="J39" i="6"/>
  <c r="J39" i="5"/>
  <c r="V22" i="3"/>
  <c r="H22" i="7"/>
  <c r="H22" i="6"/>
  <c r="V33" i="3"/>
  <c r="H33" i="6"/>
  <c r="H33" i="7"/>
  <c r="D159" i="3"/>
  <c r="D69" i="7"/>
  <c r="D69" i="6"/>
  <c r="D69" i="5"/>
  <c r="V30" i="3"/>
  <c r="H30" i="7"/>
  <c r="H30" i="6"/>
  <c r="D160" i="3"/>
  <c r="D69" i="1"/>
  <c r="D99" i="7" l="1"/>
  <c r="D67" i="5"/>
  <c r="D74" i="5" s="1"/>
  <c r="B100" i="10" s="1"/>
  <c r="D67" i="7"/>
  <c r="D74" i="7" s="1"/>
  <c r="B102" i="10" s="1"/>
  <c r="D99" i="5"/>
  <c r="D98" i="6"/>
  <c r="D67" i="6"/>
  <c r="D74" i="6" s="1"/>
  <c r="B101" i="10" s="1"/>
  <c r="K28" i="1"/>
  <c r="U28" i="3" s="1"/>
  <c r="V28" i="3" s="1"/>
  <c r="K26" i="1"/>
  <c r="U26" i="3" s="1"/>
  <c r="V26" i="3" s="1"/>
  <c r="K24" i="1"/>
  <c r="U24" i="3" s="1"/>
  <c r="V24" i="3" s="1"/>
  <c r="K19" i="1"/>
  <c r="U19" i="3" s="1"/>
  <c r="V19" i="3" s="1"/>
  <c r="K16" i="1"/>
  <c r="U16" i="3" s="1"/>
  <c r="V16" i="3" s="1"/>
  <c r="K14" i="1"/>
  <c r="U14" i="3" s="1"/>
  <c r="V14" i="3" s="1"/>
  <c r="K12" i="1"/>
  <c r="U12" i="3" s="1"/>
  <c r="V12" i="3" s="1"/>
  <c r="K10" i="1"/>
  <c r="U10" i="3" s="1"/>
  <c r="V10" i="3" s="1"/>
  <c r="K8" i="1"/>
  <c r="U8" i="3" l="1"/>
  <c r="V8" i="3" l="1"/>
  <c r="H71" i="1"/>
  <c r="H70" i="1"/>
  <c r="H69" i="1"/>
  <c r="H68" i="1"/>
  <c r="H67" i="1"/>
  <c r="H66" i="1"/>
  <c r="H65" i="1"/>
  <c r="H64" i="1"/>
  <c r="H63" i="1"/>
  <c r="D95" i="1" l="1"/>
  <c r="D157" i="3" s="1"/>
  <c r="H35" i="1"/>
  <c r="D152" i="3"/>
  <c r="D151" i="3"/>
  <c r="D150" i="3"/>
  <c r="D149" i="3"/>
  <c r="D94" i="1"/>
  <c r="E82" i="1"/>
  <c r="E83" i="1"/>
  <c r="E84" i="1"/>
  <c r="E81" i="1"/>
  <c r="E90" i="1" l="1"/>
  <c r="E91" i="1"/>
  <c r="E88" i="1"/>
  <c r="E89" i="1"/>
  <c r="E95" i="1"/>
  <c r="I19" i="1"/>
  <c r="I18" i="1"/>
  <c r="P8" i="3" s="1"/>
  <c r="F32" i="1"/>
  <c r="F33" i="1"/>
  <c r="H33" i="1" s="1"/>
  <c r="F34" i="1"/>
  <c r="F31" i="1"/>
  <c r="F30" i="1"/>
  <c r="G21" i="1"/>
  <c r="J21" i="1" s="1"/>
  <c r="G22" i="1"/>
  <c r="J22" i="1" s="1"/>
  <c r="G20" i="1"/>
  <c r="J20" i="1" s="1"/>
  <c r="G18" i="1"/>
  <c r="F21" i="1"/>
  <c r="H21" i="1" s="1"/>
  <c r="F22" i="1"/>
  <c r="H22" i="1" s="1"/>
  <c r="F20" i="1"/>
  <c r="F18" i="1"/>
  <c r="I55" i="1"/>
  <c r="I39" i="1"/>
  <c r="F58" i="1"/>
  <c r="H58" i="1" s="1"/>
  <c r="G58" i="1"/>
  <c r="F59" i="1"/>
  <c r="H59" i="1" s="1"/>
  <c r="G59" i="1"/>
  <c r="F60" i="1"/>
  <c r="G60" i="1"/>
  <c r="G57" i="1"/>
  <c r="F57" i="1"/>
  <c r="H57" i="1" s="1"/>
  <c r="F51" i="1"/>
  <c r="H51" i="1" s="1"/>
  <c r="F53" i="1"/>
  <c r="H53" i="1" s="1"/>
  <c r="F55" i="1"/>
  <c r="H55" i="1" s="1"/>
  <c r="G55" i="1"/>
  <c r="F49" i="1"/>
  <c r="H49" i="1" s="1"/>
  <c r="F47" i="1"/>
  <c r="H47" i="1" s="1"/>
  <c r="F45" i="1"/>
  <c r="H45" i="1" s="1"/>
  <c r="F43" i="1"/>
  <c r="H43" i="1" s="1"/>
  <c r="F41" i="1"/>
  <c r="H41" i="1" s="1"/>
  <c r="F39" i="1"/>
  <c r="H39" i="1" s="1"/>
  <c r="F26" i="1"/>
  <c r="H26" i="1" s="1"/>
  <c r="F27" i="1"/>
  <c r="H27" i="1" s="1"/>
  <c r="F28" i="1"/>
  <c r="H28" i="1" s="1"/>
  <c r="F29" i="1"/>
  <c r="H29" i="1" s="1"/>
  <c r="F25" i="1"/>
  <c r="H25" i="1" s="1"/>
  <c r="G19" i="1"/>
  <c r="F19" i="1"/>
  <c r="H19" i="1" s="1"/>
  <c r="G26" i="1"/>
  <c r="G27" i="1"/>
  <c r="G28" i="1"/>
  <c r="G29" i="1"/>
  <c r="G30" i="1"/>
  <c r="G31" i="1"/>
  <c r="G32" i="1"/>
  <c r="G33" i="1"/>
  <c r="G34" i="1"/>
  <c r="G25" i="1"/>
  <c r="G24" i="1"/>
  <c r="F24" i="1"/>
  <c r="H24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9" i="1"/>
  <c r="H9" i="1" s="1"/>
  <c r="G10" i="1"/>
  <c r="G11" i="1"/>
  <c r="G12" i="1"/>
  <c r="G13" i="1"/>
  <c r="G14" i="1"/>
  <c r="G15" i="1"/>
  <c r="G16" i="1"/>
  <c r="G17" i="1"/>
  <c r="G8" i="1"/>
  <c r="G9" i="1"/>
  <c r="F8" i="1"/>
  <c r="H8" i="1" s="1"/>
  <c r="K27" i="1"/>
  <c r="U27" i="3" s="1"/>
  <c r="V27" i="3" s="1"/>
  <c r="K29" i="1"/>
  <c r="U29" i="3" s="1"/>
  <c r="V29" i="3" s="1"/>
  <c r="K25" i="1"/>
  <c r="U25" i="3" s="1"/>
  <c r="V25" i="3" s="1"/>
  <c r="K11" i="1"/>
  <c r="U11" i="3" s="1"/>
  <c r="V11" i="3" s="1"/>
  <c r="K13" i="1"/>
  <c r="U13" i="3" s="1"/>
  <c r="V13" i="3" s="1"/>
  <c r="K15" i="1"/>
  <c r="U15" i="3" s="1"/>
  <c r="V15" i="3" s="1"/>
  <c r="K17" i="1"/>
  <c r="U17" i="3" s="1"/>
  <c r="V17" i="3" s="1"/>
  <c r="K9" i="1"/>
  <c r="G39" i="1"/>
  <c r="U9" i="3" l="1"/>
  <c r="J55" i="1"/>
  <c r="J39" i="1"/>
  <c r="J19" i="1"/>
  <c r="H30" i="1"/>
  <c r="H31" i="1"/>
  <c r="H20" i="1"/>
  <c r="H18" i="1"/>
  <c r="H32" i="1"/>
  <c r="I58" i="1"/>
  <c r="J58" i="1" s="1"/>
  <c r="J18" i="1"/>
  <c r="H34" i="1"/>
  <c r="D158" i="3" l="1"/>
  <c r="D101" i="1"/>
  <c r="J8" i="5"/>
  <c r="Q9" i="3"/>
  <c r="I9" i="5" s="1"/>
  <c r="V9" i="3"/>
  <c r="J8" i="6"/>
  <c r="R9" i="3"/>
  <c r="I9" i="6" s="1"/>
  <c r="J8" i="7"/>
  <c r="S9" i="3"/>
  <c r="I9" i="7" s="1"/>
  <c r="I8" i="1"/>
  <c r="P9" i="3" s="1"/>
  <c r="D99" i="1"/>
  <c r="D92" i="1"/>
  <c r="AF50" i="3" l="1"/>
  <c r="AF49" i="3"/>
  <c r="AF54" i="3"/>
  <c r="AF53" i="3"/>
  <c r="AF42" i="3"/>
  <c r="AF41" i="3"/>
  <c r="AF46" i="3"/>
  <c r="AF45" i="3"/>
  <c r="AF29" i="3"/>
  <c r="AF25" i="3"/>
  <c r="AF17" i="3"/>
  <c r="AF27" i="3"/>
  <c r="AF11" i="3"/>
  <c r="AF9" i="3"/>
  <c r="AF15" i="3"/>
  <c r="AF13" i="3"/>
  <c r="D100" i="7"/>
  <c r="D93" i="7"/>
  <c r="J9" i="7"/>
  <c r="J9" i="5"/>
  <c r="J9" i="6"/>
  <c r="D99" i="6"/>
  <c r="D93" i="6"/>
  <c r="D100" i="5"/>
  <c r="D93" i="5"/>
  <c r="J8" i="1"/>
  <c r="I9" i="1"/>
  <c r="J9" i="1" s="1"/>
  <c r="D93" i="1"/>
  <c r="D100" i="1"/>
  <c r="D207" i="3" l="1"/>
  <c r="D208" i="3"/>
  <c r="E93" i="7" s="1"/>
  <c r="D189" i="3"/>
  <c r="D190" i="3"/>
  <c r="E93" i="6" s="1"/>
  <c r="D171" i="3"/>
  <c r="D172" i="3"/>
  <c r="D153" i="3"/>
  <c r="D154" i="3"/>
  <c r="E93" i="1" s="1"/>
  <c r="R10" i="3"/>
  <c r="I10" i="6" s="1"/>
  <c r="Q10" i="3"/>
  <c r="I10" i="5" s="1"/>
  <c r="S10" i="3"/>
  <c r="I10" i="7" s="1"/>
  <c r="P10" i="3"/>
  <c r="E93" i="5" l="1"/>
  <c r="J10" i="7"/>
  <c r="J10" i="6"/>
  <c r="J10" i="5"/>
  <c r="I10" i="1"/>
  <c r="J10" i="1" s="1"/>
  <c r="Q11" i="3" l="1"/>
  <c r="I11" i="5" s="1"/>
  <c r="S11" i="3"/>
  <c r="I11" i="7" s="1"/>
  <c r="P11" i="3"/>
  <c r="I11" i="1" s="1"/>
  <c r="J11" i="1" s="1"/>
  <c r="R11" i="3"/>
  <c r="I11" i="6" s="1"/>
  <c r="P12" i="3" l="1"/>
  <c r="J11" i="7"/>
  <c r="J11" i="6"/>
  <c r="S12" i="3" l="1"/>
  <c r="I12" i="7" s="1"/>
  <c r="I12" i="1"/>
  <c r="J11" i="5"/>
  <c r="Q12" i="3"/>
  <c r="I12" i="5" s="1"/>
  <c r="J12" i="5" s="1"/>
  <c r="R12" i="3"/>
  <c r="I12" i="6" l="1"/>
  <c r="J12" i="6" s="1"/>
  <c r="S13" i="3"/>
  <c r="I13" i="7" s="1"/>
  <c r="Q13" i="3"/>
  <c r="I13" i="5" s="1"/>
  <c r="J12" i="7"/>
  <c r="J12" i="1"/>
  <c r="P13" i="3"/>
  <c r="R13" i="3" l="1"/>
  <c r="I13" i="6" s="1"/>
  <c r="I13" i="1"/>
  <c r="J13" i="1" l="1"/>
  <c r="P14" i="3"/>
  <c r="J13" i="5"/>
  <c r="Q14" i="3"/>
  <c r="I14" i="5" s="1"/>
  <c r="J13" i="6"/>
  <c r="R14" i="3"/>
  <c r="I14" i="6" s="1"/>
  <c r="J13" i="7"/>
  <c r="S14" i="3"/>
  <c r="I14" i="7" s="1"/>
  <c r="J14" i="6" l="1"/>
  <c r="J14" i="7"/>
  <c r="I14" i="1"/>
  <c r="J14" i="1" s="1"/>
  <c r="J14" i="5"/>
  <c r="P15" i="3" l="1"/>
  <c r="R15" i="3"/>
  <c r="I15" i="6" s="1"/>
  <c r="J15" i="6" s="1"/>
  <c r="S15" i="3"/>
  <c r="I15" i="7" s="1"/>
  <c r="Q15" i="3"/>
  <c r="I15" i="5" s="1"/>
  <c r="J15" i="7" l="1"/>
  <c r="J15" i="5"/>
  <c r="I15" i="1"/>
  <c r="J15" i="1" s="1"/>
  <c r="S16" i="3"/>
  <c r="I16" i="7" s="1"/>
  <c r="R16" i="3"/>
  <c r="I16" i="6" s="1"/>
  <c r="P16" i="3" l="1"/>
  <c r="I16" i="1" s="1"/>
  <c r="Q16" i="3"/>
  <c r="I16" i="5" s="1"/>
  <c r="J16" i="6" l="1"/>
  <c r="J16" i="5"/>
  <c r="Q17" i="3"/>
  <c r="J16" i="7"/>
  <c r="S17" i="3"/>
  <c r="P17" i="3"/>
  <c r="J16" i="1"/>
  <c r="R17" i="3"/>
  <c r="I17" i="5" l="1"/>
  <c r="Q30" i="3" s="1"/>
  <c r="I17" i="7"/>
  <c r="S30" i="3" s="1"/>
  <c r="I17" i="6"/>
  <c r="R30" i="3" s="1"/>
  <c r="I17" i="1"/>
  <c r="I30" i="6" l="1"/>
  <c r="R31" i="3" s="1"/>
  <c r="I31" i="6" s="1"/>
  <c r="R32" i="3" s="1"/>
  <c r="I30" i="7"/>
  <c r="S31" i="3" s="1"/>
  <c r="I31" i="7" s="1"/>
  <c r="I30" i="5"/>
  <c r="Q31" i="3" s="1"/>
  <c r="J17" i="5"/>
  <c r="I57" i="5"/>
  <c r="J57" i="5" s="1"/>
  <c r="J17" i="7"/>
  <c r="I57" i="7"/>
  <c r="J57" i="7" s="1"/>
  <c r="P30" i="3"/>
  <c r="J17" i="1"/>
  <c r="I57" i="1"/>
  <c r="J57" i="1" s="1"/>
  <c r="J17" i="6"/>
  <c r="I57" i="6"/>
  <c r="J57" i="6" s="1"/>
  <c r="D60" i="1"/>
  <c r="H60" i="1" s="1"/>
  <c r="D67" i="1" s="1"/>
  <c r="D74" i="1" s="1"/>
  <c r="B99" i="10" s="1"/>
  <c r="I26" i="8" l="1"/>
  <c r="I32" i="6"/>
  <c r="R33" i="3" s="1"/>
  <c r="I33" i="6" s="1"/>
  <c r="J30" i="7"/>
  <c r="J30" i="6"/>
  <c r="J30" i="5"/>
  <c r="I30" i="1"/>
  <c r="I27" i="8" l="1"/>
  <c r="L39" i="8" s="1"/>
  <c r="C128" i="10" s="1"/>
  <c r="D128" i="10" s="1"/>
  <c r="R34" i="3"/>
  <c r="I34" i="6" s="1"/>
  <c r="P31" i="3"/>
  <c r="J30" i="1"/>
  <c r="I31" i="5"/>
  <c r="Q32" i="3" s="1"/>
  <c r="R35" i="3" l="1"/>
  <c r="I35" i="6" s="1"/>
  <c r="J35" i="6" s="1"/>
  <c r="J31" i="5"/>
  <c r="I31" i="1"/>
  <c r="J31" i="1" s="1"/>
  <c r="J31" i="6"/>
  <c r="R36" i="3" l="1"/>
  <c r="I36" i="6" s="1"/>
  <c r="J36" i="6" s="1"/>
  <c r="J31" i="7"/>
  <c r="S32" i="3"/>
  <c r="P32" i="3"/>
  <c r="I32" i="1" s="1"/>
  <c r="J32" i="1" s="1"/>
  <c r="J32" i="6"/>
  <c r="I32" i="5"/>
  <c r="I32" i="7" l="1"/>
  <c r="S33" i="3" s="1"/>
  <c r="I33" i="7" s="1"/>
  <c r="J32" i="5"/>
  <c r="Q33" i="3"/>
  <c r="I33" i="5" s="1"/>
  <c r="P33" i="3"/>
  <c r="J33" i="6" s="1"/>
  <c r="J32" i="7" l="1"/>
  <c r="I33" i="1"/>
  <c r="J33" i="1" s="1"/>
  <c r="Q34" i="3"/>
  <c r="I34" i="5" s="1"/>
  <c r="J33" i="5"/>
  <c r="P34" i="3" l="1"/>
  <c r="I34" i="1" s="1"/>
  <c r="J34" i="1" s="1"/>
  <c r="J33" i="7"/>
  <c r="S34" i="3"/>
  <c r="Q35" i="3"/>
  <c r="I35" i="5" s="1"/>
  <c r="J35" i="5" s="1"/>
  <c r="J34" i="6"/>
  <c r="J34" i="5"/>
  <c r="Q36" i="3" l="1"/>
  <c r="I36" i="5" s="1"/>
  <c r="J36" i="5" s="1"/>
  <c r="P35" i="3"/>
  <c r="I35" i="1" s="1"/>
  <c r="I34" i="7"/>
  <c r="J34" i="7" s="1"/>
  <c r="P36" i="3" l="1"/>
  <c r="I36" i="1" s="1"/>
  <c r="J36" i="1" s="1"/>
  <c r="J35" i="1"/>
  <c r="S35" i="3"/>
  <c r="I35" i="7" s="1"/>
  <c r="J35" i="7" s="1"/>
  <c r="Q24" i="3"/>
  <c r="R24" i="3"/>
  <c r="P24" i="3"/>
  <c r="S36" i="3" l="1"/>
  <c r="I36" i="7" s="1"/>
  <c r="J36" i="7" s="1"/>
  <c r="S24" i="3"/>
  <c r="I24" i="7" s="1"/>
  <c r="S25" i="3" s="1"/>
  <c r="I25" i="7" s="1"/>
  <c r="S26" i="3" s="1"/>
  <c r="I24" i="6"/>
  <c r="R25" i="3" s="1"/>
  <c r="I24" i="5"/>
  <c r="Q25" i="3" s="1"/>
  <c r="I24" i="1"/>
  <c r="J24" i="5" l="1"/>
  <c r="J24" i="7"/>
  <c r="I26" i="7"/>
  <c r="S27" i="3" s="1"/>
  <c r="I25" i="6"/>
  <c r="R26" i="3" s="1"/>
  <c r="J24" i="6"/>
  <c r="J24" i="1"/>
  <c r="I25" i="5"/>
  <c r="Q26" i="3" s="1"/>
  <c r="P25" i="3"/>
  <c r="I27" i="7" l="1"/>
  <c r="S28" i="3" s="1"/>
  <c r="I26" i="6"/>
  <c r="R27" i="3" s="1"/>
  <c r="J25" i="7"/>
  <c r="J25" i="6"/>
  <c r="I25" i="1"/>
  <c r="J25" i="5"/>
  <c r="I28" i="7" l="1"/>
  <c r="S29" i="3" s="1"/>
  <c r="I29" i="7" s="1"/>
  <c r="I27" i="6"/>
  <c r="R28" i="3" s="1"/>
  <c r="J25" i="1"/>
  <c r="P26" i="3"/>
  <c r="I26" i="5"/>
  <c r="Q27" i="3" s="1"/>
  <c r="I28" i="6" l="1"/>
  <c r="R29" i="3" s="1"/>
  <c r="I29" i="6" s="1"/>
  <c r="J26" i="7"/>
  <c r="I26" i="1"/>
  <c r="J26" i="6"/>
  <c r="J26" i="5"/>
  <c r="J26" i="1" l="1"/>
  <c r="P27" i="3"/>
  <c r="I27" i="5"/>
  <c r="Q28" i="3" s="1"/>
  <c r="J27" i="5" l="1"/>
  <c r="J27" i="6"/>
  <c r="J27" i="7"/>
  <c r="I27" i="1"/>
  <c r="P28" i="3" s="1"/>
  <c r="J28" i="7" l="1"/>
  <c r="J28" i="6"/>
  <c r="I28" i="1"/>
  <c r="P29" i="3" s="1"/>
  <c r="J29" i="6" s="1"/>
  <c r="D68" i="6" s="1"/>
  <c r="D70" i="6" s="1"/>
  <c r="AK59" i="3" s="1"/>
  <c r="I28" i="5"/>
  <c r="J27" i="1"/>
  <c r="AK50" i="3" l="1"/>
  <c r="E50" i="6" s="1"/>
  <c r="AK42" i="3"/>
  <c r="E42" i="6" s="1"/>
  <c r="AK51" i="3"/>
  <c r="E51" i="6" s="1"/>
  <c r="AK43" i="3"/>
  <c r="E43" i="6" s="1"/>
  <c r="AK17" i="3"/>
  <c r="E17" i="6" s="1"/>
  <c r="AK9" i="3"/>
  <c r="E9" i="6" s="1"/>
  <c r="AK34" i="3"/>
  <c r="E34" i="6" s="1"/>
  <c r="AK28" i="3"/>
  <c r="E28" i="6" s="1"/>
  <c r="AK16" i="3"/>
  <c r="E16" i="6" s="1"/>
  <c r="AK8" i="3"/>
  <c r="E8" i="6" s="1"/>
  <c r="AK49" i="3"/>
  <c r="E49" i="6" s="1"/>
  <c r="AK41" i="3"/>
  <c r="E41" i="6" s="1"/>
  <c r="AK48" i="3"/>
  <c r="E48" i="6" s="1"/>
  <c r="AK40" i="3"/>
  <c r="E40" i="6" s="1"/>
  <c r="AK29" i="3"/>
  <c r="E29" i="6" s="1"/>
  <c r="AK15" i="3"/>
  <c r="E15" i="6" s="1"/>
  <c r="AK37" i="3"/>
  <c r="E37" i="6" s="1"/>
  <c r="AK32" i="3"/>
  <c r="E32" i="6" s="1"/>
  <c r="AK26" i="3"/>
  <c r="E26" i="6" s="1"/>
  <c r="AK14" i="3"/>
  <c r="E14" i="6" s="1"/>
  <c r="AK58" i="3"/>
  <c r="E58" i="6" s="1"/>
  <c r="AK54" i="3"/>
  <c r="E54" i="6" s="1"/>
  <c r="AK46" i="3"/>
  <c r="E46" i="6" s="1"/>
  <c r="AK55" i="3"/>
  <c r="E55" i="6" s="1"/>
  <c r="AK47" i="3"/>
  <c r="E47" i="6" s="1"/>
  <c r="AK39" i="3"/>
  <c r="E39" i="6" s="1"/>
  <c r="AK27" i="3"/>
  <c r="E27" i="6" s="1"/>
  <c r="AK13" i="3"/>
  <c r="E13" i="6" s="1"/>
  <c r="AK35" i="3"/>
  <c r="E35" i="6" s="1"/>
  <c r="AK31" i="3"/>
  <c r="E31" i="6" s="1"/>
  <c r="AK24" i="3"/>
  <c r="E24" i="6" s="1"/>
  <c r="AK12" i="3"/>
  <c r="E12" i="6" s="1"/>
  <c r="AK57" i="3"/>
  <c r="E57" i="6" s="1"/>
  <c r="AK53" i="3"/>
  <c r="E53" i="6" s="1"/>
  <c r="AK45" i="3"/>
  <c r="E45" i="6" s="1"/>
  <c r="AK52" i="3"/>
  <c r="E52" i="6" s="1"/>
  <c r="AK44" i="3"/>
  <c r="E44" i="6" s="1"/>
  <c r="AK36" i="3"/>
  <c r="E36" i="6" s="1"/>
  <c r="AK25" i="3"/>
  <c r="E25" i="6" s="1"/>
  <c r="AK11" i="3"/>
  <c r="E11" i="6" s="1"/>
  <c r="AK33" i="3"/>
  <c r="E33" i="6" s="1"/>
  <c r="AK30" i="3"/>
  <c r="E30" i="6" s="1"/>
  <c r="AK18" i="3"/>
  <c r="E18" i="6" s="1"/>
  <c r="AK10" i="3"/>
  <c r="E10" i="6" s="1"/>
  <c r="J28" i="5"/>
  <c r="Q29" i="3"/>
  <c r="I29" i="5" s="1"/>
  <c r="J29" i="5" s="1"/>
  <c r="J29" i="7"/>
  <c r="D98" i="7" s="1"/>
  <c r="I29" i="1"/>
  <c r="J29" i="1" s="1"/>
  <c r="J28" i="1"/>
  <c r="D75" i="6"/>
  <c r="D101" i="10" s="1"/>
  <c r="D184" i="3"/>
  <c r="D119" i="3"/>
  <c r="D123" i="3"/>
  <c r="D97" i="6"/>
  <c r="D183" i="3" l="1"/>
  <c r="C135" i="10" s="1"/>
  <c r="D135" i="10" s="1"/>
  <c r="AK60" i="3"/>
  <c r="E60" i="6" s="1"/>
  <c r="E59" i="6"/>
  <c r="D68" i="1"/>
  <c r="D148" i="3" s="1"/>
  <c r="D147" i="3" s="1"/>
  <c r="D82" i="6"/>
  <c r="D83" i="6"/>
  <c r="D80" i="6"/>
  <c r="D84" i="6"/>
  <c r="D81" i="6"/>
  <c r="D76" i="6"/>
  <c r="E68" i="6"/>
  <c r="D98" i="1"/>
  <c r="D68" i="7"/>
  <c r="D68" i="5"/>
  <c r="D70" i="5" s="1"/>
  <c r="AH59" i="3" s="1"/>
  <c r="D98" i="5"/>
  <c r="AH36" i="3" l="1"/>
  <c r="E36" i="5" s="1"/>
  <c r="AH49" i="3"/>
  <c r="E49" i="5" s="1"/>
  <c r="AH41" i="3"/>
  <c r="E41" i="5" s="1"/>
  <c r="AH26" i="3"/>
  <c r="E26" i="5" s="1"/>
  <c r="AH13" i="3"/>
  <c r="E13" i="5" s="1"/>
  <c r="AH52" i="3"/>
  <c r="E52" i="5" s="1"/>
  <c r="AH44" i="3"/>
  <c r="E44" i="5" s="1"/>
  <c r="AH37" i="3"/>
  <c r="E37" i="5" s="1"/>
  <c r="AH32" i="3"/>
  <c r="E32" i="5" s="1"/>
  <c r="AH24" i="3"/>
  <c r="E24" i="5" s="1"/>
  <c r="AH12" i="3"/>
  <c r="E12" i="5" s="1"/>
  <c r="AH22" i="3"/>
  <c r="E22" i="5" s="1"/>
  <c r="AH54" i="3"/>
  <c r="E54" i="5" s="1"/>
  <c r="AH46" i="3"/>
  <c r="E46" i="5" s="1"/>
  <c r="AH58" i="3"/>
  <c r="E58" i="5" s="1"/>
  <c r="AH19" i="3"/>
  <c r="E19" i="5" s="1"/>
  <c r="AH25" i="3"/>
  <c r="E25" i="5" s="1"/>
  <c r="AH11" i="3"/>
  <c r="E11" i="5" s="1"/>
  <c r="AH51" i="3"/>
  <c r="E51" i="5" s="1"/>
  <c r="AH43" i="3"/>
  <c r="E43" i="5" s="1"/>
  <c r="AH35" i="3"/>
  <c r="E35" i="5" s="1"/>
  <c r="AH31" i="3"/>
  <c r="E31" i="5" s="1"/>
  <c r="AH18" i="3"/>
  <c r="E18" i="5" s="1"/>
  <c r="AH10" i="3"/>
  <c r="E10" i="5" s="1"/>
  <c r="AH20" i="3"/>
  <c r="E20" i="5" s="1"/>
  <c r="AH53" i="3"/>
  <c r="E53" i="5" s="1"/>
  <c r="AH45" i="3"/>
  <c r="E45" i="5" s="1"/>
  <c r="AH57" i="3"/>
  <c r="E57" i="5" s="1"/>
  <c r="AH29" i="3"/>
  <c r="E29" i="5" s="1"/>
  <c r="AH17" i="3"/>
  <c r="E17" i="5" s="1"/>
  <c r="AH9" i="3"/>
  <c r="E9" i="5" s="1"/>
  <c r="AH48" i="3"/>
  <c r="E48" i="5" s="1"/>
  <c r="AH40" i="3"/>
  <c r="E40" i="5" s="1"/>
  <c r="AH34" i="3"/>
  <c r="E34" i="5" s="1"/>
  <c r="AH30" i="3"/>
  <c r="E30" i="5" s="1"/>
  <c r="AH16" i="3"/>
  <c r="E16" i="5" s="1"/>
  <c r="AH8" i="3"/>
  <c r="E8" i="5" s="1"/>
  <c r="AH50" i="3"/>
  <c r="E50" i="5" s="1"/>
  <c r="AH42" i="3"/>
  <c r="E42" i="5" s="1"/>
  <c r="AH27" i="3"/>
  <c r="E27" i="5" s="1"/>
  <c r="AH15" i="3"/>
  <c r="E15" i="5" s="1"/>
  <c r="AH55" i="3"/>
  <c r="E55" i="5" s="1"/>
  <c r="AH47" i="3"/>
  <c r="E47" i="5" s="1"/>
  <c r="AH39" i="3"/>
  <c r="E39" i="5" s="1"/>
  <c r="AH33" i="3"/>
  <c r="E33" i="5" s="1"/>
  <c r="AH28" i="3"/>
  <c r="E28" i="5" s="1"/>
  <c r="AH14" i="3"/>
  <c r="E14" i="5" s="1"/>
  <c r="AH21" i="3"/>
  <c r="E21" i="5" s="1"/>
  <c r="D70" i="1"/>
  <c r="D75" i="1"/>
  <c r="K26" i="8" s="1"/>
  <c r="D117" i="3"/>
  <c r="D83" i="1" s="1"/>
  <c r="D121" i="3"/>
  <c r="AE58" i="3"/>
  <c r="E58" i="1" s="1"/>
  <c r="AE53" i="3"/>
  <c r="E53" i="1" s="1"/>
  <c r="AE49" i="3"/>
  <c r="E49" i="1" s="1"/>
  <c r="AE44" i="3"/>
  <c r="E44" i="1" s="1"/>
  <c r="AE40" i="3"/>
  <c r="E40" i="1" s="1"/>
  <c r="AE26" i="3"/>
  <c r="E26" i="1" s="1"/>
  <c r="AE30" i="3"/>
  <c r="E30" i="1" s="1"/>
  <c r="AE34" i="3"/>
  <c r="E34" i="1" s="1"/>
  <c r="AE21" i="3"/>
  <c r="E21" i="1" s="1"/>
  <c r="AE46" i="3"/>
  <c r="E46" i="1" s="1"/>
  <c r="AE28" i="3"/>
  <c r="E28" i="1" s="1"/>
  <c r="AE55" i="3"/>
  <c r="E55" i="1" s="1"/>
  <c r="AE51" i="3"/>
  <c r="E51" i="1" s="1"/>
  <c r="AE47" i="3"/>
  <c r="E47" i="1" s="1"/>
  <c r="AE43" i="3"/>
  <c r="E43" i="1" s="1"/>
  <c r="AE39" i="3"/>
  <c r="E39" i="1" s="1"/>
  <c r="AE27" i="3"/>
  <c r="E27" i="1" s="1"/>
  <c r="AE31" i="3"/>
  <c r="E31" i="1" s="1"/>
  <c r="AE35" i="3"/>
  <c r="E35" i="1" s="1"/>
  <c r="AE22" i="3"/>
  <c r="E22" i="1" s="1"/>
  <c r="AE36" i="3"/>
  <c r="E36" i="1" s="1"/>
  <c r="AE20" i="3"/>
  <c r="E20" i="1" s="1"/>
  <c r="AE54" i="3"/>
  <c r="E54" i="1" s="1"/>
  <c r="AE50" i="3"/>
  <c r="E50" i="1" s="1"/>
  <c r="AE42" i="3"/>
  <c r="E42" i="1" s="1"/>
  <c r="AE32" i="3"/>
  <c r="E32" i="1" s="1"/>
  <c r="AE17" i="3"/>
  <c r="E17" i="1" s="1"/>
  <c r="AE15" i="3"/>
  <c r="E15" i="1" s="1"/>
  <c r="AE13" i="3"/>
  <c r="E13" i="1" s="1"/>
  <c r="AE11" i="3"/>
  <c r="E11" i="1" s="1"/>
  <c r="AE14" i="3"/>
  <c r="E14" i="1" s="1"/>
  <c r="AE9" i="3"/>
  <c r="E9" i="1" s="1"/>
  <c r="AE12" i="3"/>
  <c r="E12" i="1" s="1"/>
  <c r="AE18" i="3"/>
  <c r="E18" i="1" s="1"/>
  <c r="AE10" i="3"/>
  <c r="E10" i="1" s="1"/>
  <c r="AE16" i="3"/>
  <c r="E16" i="1" s="1"/>
  <c r="AE8" i="3"/>
  <c r="E8" i="1" s="1"/>
  <c r="D75" i="7"/>
  <c r="D102" i="10" s="1"/>
  <c r="D70" i="7"/>
  <c r="AN59" i="3" s="1"/>
  <c r="C133" i="10"/>
  <c r="D133" i="10" s="1"/>
  <c r="D120" i="3"/>
  <c r="D202" i="3"/>
  <c r="D124" i="3"/>
  <c r="D166" i="3"/>
  <c r="D118" i="3"/>
  <c r="D122" i="3"/>
  <c r="D75" i="5"/>
  <c r="D100" i="10" s="1"/>
  <c r="E68" i="1"/>
  <c r="AE45" i="3" l="1"/>
  <c r="E45" i="1" s="1"/>
  <c r="AE59" i="3"/>
  <c r="AN19" i="3"/>
  <c r="E19" i="7" s="1"/>
  <c r="AK19" i="3"/>
  <c r="E19" i="6" s="1"/>
  <c r="AE48" i="3"/>
  <c r="E48" i="1" s="1"/>
  <c r="AE52" i="3"/>
  <c r="E52" i="1" s="1"/>
  <c r="AE57" i="3"/>
  <c r="E57" i="1" s="1"/>
  <c r="AE37" i="3"/>
  <c r="E37" i="1" s="1"/>
  <c r="AE19" i="3"/>
  <c r="E19" i="1" s="1"/>
  <c r="D201" i="3"/>
  <c r="C136" i="10" s="1"/>
  <c r="D136" i="10" s="1"/>
  <c r="D165" i="3"/>
  <c r="C134" i="10" s="1"/>
  <c r="D134" i="10" s="1"/>
  <c r="AE24" i="3"/>
  <c r="E24" i="1" s="1"/>
  <c r="AE33" i="3"/>
  <c r="E33" i="1" s="1"/>
  <c r="AE29" i="3"/>
  <c r="E29" i="1" s="1"/>
  <c r="AE25" i="3"/>
  <c r="E25" i="1" s="1"/>
  <c r="AE41" i="3"/>
  <c r="E41" i="1" s="1"/>
  <c r="D76" i="7"/>
  <c r="E59" i="5"/>
  <c r="AH60" i="3"/>
  <c r="E60" i="5" s="1"/>
  <c r="D80" i="1"/>
  <c r="D81" i="1"/>
  <c r="D84" i="1"/>
  <c r="D82" i="1"/>
  <c r="D99" i="10"/>
  <c r="D76" i="1"/>
  <c r="AN58" i="3"/>
  <c r="E58" i="7" s="1"/>
  <c r="AN54" i="3"/>
  <c r="E54" i="7" s="1"/>
  <c r="AN46" i="3"/>
  <c r="E46" i="7" s="1"/>
  <c r="AN55" i="3"/>
  <c r="E55" i="7" s="1"/>
  <c r="AN47" i="3"/>
  <c r="E47" i="7" s="1"/>
  <c r="AN39" i="3"/>
  <c r="E39" i="7" s="1"/>
  <c r="AN25" i="3"/>
  <c r="E25" i="7" s="1"/>
  <c r="AN11" i="3"/>
  <c r="E11" i="7" s="1"/>
  <c r="AN34" i="3"/>
  <c r="E34" i="7" s="1"/>
  <c r="AN30" i="3"/>
  <c r="E30" i="7" s="1"/>
  <c r="AN18" i="3"/>
  <c r="E18" i="7" s="1"/>
  <c r="AN10" i="3"/>
  <c r="E10" i="7" s="1"/>
  <c r="AN57" i="3"/>
  <c r="E57" i="7" s="1"/>
  <c r="AN53" i="3"/>
  <c r="E53" i="7" s="1"/>
  <c r="AN45" i="3"/>
  <c r="E45" i="7" s="1"/>
  <c r="AN52" i="3"/>
  <c r="E52" i="7" s="1"/>
  <c r="AN44" i="3"/>
  <c r="E44" i="7" s="1"/>
  <c r="AN36" i="3"/>
  <c r="E36" i="7" s="1"/>
  <c r="AN17" i="3"/>
  <c r="E17" i="7" s="1"/>
  <c r="AN9" i="3"/>
  <c r="E9" i="7" s="1"/>
  <c r="AN33" i="3"/>
  <c r="E33" i="7" s="1"/>
  <c r="AN28" i="3"/>
  <c r="E28" i="7" s="1"/>
  <c r="AN16" i="3"/>
  <c r="E16" i="7" s="1"/>
  <c r="AN8" i="3"/>
  <c r="E8" i="7" s="1"/>
  <c r="AN50" i="3"/>
  <c r="E50" i="7" s="1"/>
  <c r="AN42" i="3"/>
  <c r="E42" i="7" s="1"/>
  <c r="AN51" i="3"/>
  <c r="E51" i="7" s="1"/>
  <c r="AN43" i="3"/>
  <c r="E43" i="7" s="1"/>
  <c r="AN29" i="3"/>
  <c r="E29" i="7" s="1"/>
  <c r="AN15" i="3"/>
  <c r="E15" i="7" s="1"/>
  <c r="AN37" i="3"/>
  <c r="E37" i="7" s="1"/>
  <c r="AN32" i="3"/>
  <c r="E32" i="7" s="1"/>
  <c r="AN26" i="3"/>
  <c r="E26" i="7" s="1"/>
  <c r="AN14" i="3"/>
  <c r="E14" i="7" s="1"/>
  <c r="AN49" i="3"/>
  <c r="E49" i="7" s="1"/>
  <c r="AN41" i="3"/>
  <c r="E41" i="7" s="1"/>
  <c r="AN48" i="3"/>
  <c r="E48" i="7" s="1"/>
  <c r="AN40" i="3"/>
  <c r="E40" i="7" s="1"/>
  <c r="AN27" i="3"/>
  <c r="E27" i="7" s="1"/>
  <c r="AN13" i="3"/>
  <c r="E13" i="7" s="1"/>
  <c r="AN35" i="3"/>
  <c r="E35" i="7" s="1"/>
  <c r="AN31" i="3"/>
  <c r="E31" i="7" s="1"/>
  <c r="AN24" i="3"/>
  <c r="E24" i="7" s="1"/>
  <c r="AN12" i="3"/>
  <c r="E12" i="7" s="1"/>
  <c r="E59" i="1"/>
  <c r="AE60" i="3"/>
  <c r="E60" i="1" s="1"/>
  <c r="D81" i="5"/>
  <c r="D82" i="5"/>
  <c r="D83" i="5"/>
  <c r="D80" i="5"/>
  <c r="D84" i="5"/>
  <c r="D83" i="7"/>
  <c r="D80" i="7"/>
  <c r="D84" i="7"/>
  <c r="D81" i="7"/>
  <c r="D82" i="7"/>
  <c r="D76" i="5"/>
  <c r="E68" i="5"/>
  <c r="E68" i="7"/>
  <c r="AN60" i="3" l="1"/>
  <c r="E60" i="7" s="1"/>
  <c r="E59" i="7"/>
  <c r="K27" i="8"/>
  <c r="L40" i="8" s="1"/>
  <c r="C129" i="10" s="1"/>
  <c r="D129" i="10" s="1"/>
  <c r="L41" i="8" l="1"/>
  <c r="C130" i="10" s="1"/>
  <c r="D130" i="10" s="1"/>
  <c r="D124" i="10" s="1"/>
</calcChain>
</file>

<file path=xl/sharedStrings.xml><?xml version="1.0" encoding="utf-8"?>
<sst xmlns="http://schemas.openxmlformats.org/spreadsheetml/2006/main" count="1852" uniqueCount="887">
  <si>
    <t>Дополнительные параметры</t>
  </si>
  <si>
    <t>Количество устройств, шт.</t>
  </si>
  <si>
    <t>Ток всех устройств в дежурном режиме, мА</t>
  </si>
  <si>
    <t>Датчики</t>
  </si>
  <si>
    <t>22051E-63 Дымовой извещатель</t>
  </si>
  <si>
    <t>22051EI-63 Дымовой извещатель с изолятором КЗ</t>
  </si>
  <si>
    <t>52051E-63 Тепловой извещатель</t>
  </si>
  <si>
    <t>52051EI-63 Тепловой извещатель с изолятором КЗ</t>
  </si>
  <si>
    <t>52051RE-63 Тепловой максимально-дифференциальный извещатель</t>
  </si>
  <si>
    <t>52051REI-63 Тепловой максимально-дифференциальный извещатель с изолятором КЗ</t>
  </si>
  <si>
    <t>52051HTE-63 Высокотемпературный тепловой максимальный извещатель</t>
  </si>
  <si>
    <t>52051HTEI-63 Высокотемпературный тепловой максимальный извещатель с изолятором КЗ</t>
  </si>
  <si>
    <t>22051TE-63 Комбинированный извещатель</t>
  </si>
  <si>
    <t>22051TEI-63 Комбинированный извещатель с изолятором КЗ</t>
  </si>
  <si>
    <t>6500-63 или 6500S-63 Линейный дымовой извещатель</t>
  </si>
  <si>
    <t>22051EISE Извещатель дымовой оптикоэлектронный искробезопасный</t>
  </si>
  <si>
    <t>FL2011EI Одноканальный аспирационный извещатель с одним лазерным сенсором</t>
  </si>
  <si>
    <t>FL2012EI Одноканальный аспирационный извещатель с двумя лазерными сенсорами</t>
  </si>
  <si>
    <t>FL2022EI Двухканальный аспирационный извещатель</t>
  </si>
  <si>
    <t>Модули</t>
  </si>
  <si>
    <t>ИП535-19 ID63 (M5A-RP01FG-S-63) Ручной извещатель</t>
  </si>
  <si>
    <t>ИП535-19/02 ID63 (M5A-RP02FG-S-63) Ручной извещатель с изолятором КЗ</t>
  </si>
  <si>
    <t>WCP5А-RР01SG-S214-01 Влагозащищенный ручной извещатель</t>
  </si>
  <si>
    <t>WCP5А-RP02SG-214-01 Влагозащищенный ручной извещатель с изолятором КЗ</t>
  </si>
  <si>
    <t>УДП5А-YP01FF-S-02 (M5A-YP01FF-S-02-63) Адресное устройство дистанционного пуска</t>
  </si>
  <si>
    <t>УДП5А-YP02FF-S-02 (M5A-YP02FF-S-02-63) Адресное УДП с изолятором КЗ</t>
  </si>
  <si>
    <t>M201E-240 или M201E-240DIN Адресное силовое реле</t>
  </si>
  <si>
    <t>М201Е Адресное реле</t>
  </si>
  <si>
    <t>М210Е Модуль контроля одноканальный</t>
  </si>
  <si>
    <t>M220E Модуль контроля двухканальный</t>
  </si>
  <si>
    <t>М221Е Модуль контроля и управления</t>
  </si>
  <si>
    <t>Оповещатели</t>
  </si>
  <si>
    <t>WST-PR-N63 Оповещатель адресный световой (строб лампа)</t>
  </si>
  <si>
    <t>Аксессуары</t>
  </si>
  <si>
    <t>RA100Z Выносной оптический сигнализатор (ВУОС)</t>
  </si>
  <si>
    <t>IST200 Интеллектуальный преобразователь</t>
  </si>
  <si>
    <t>KFD0-CS-Ex1.54 Блок искрозащиты</t>
  </si>
  <si>
    <t>Ток устройства в дежурном режиме, мА</t>
  </si>
  <si>
    <t>Добавочный ток  устройства в режиме тревоги, мА</t>
  </si>
  <si>
    <t>Добавочный ток всех устройств в режиме тревоги, мА</t>
  </si>
  <si>
    <t>Количество  изоляторов КЗ</t>
  </si>
  <si>
    <t xml:space="preserve">Количество устройств, индицирующих тревогу </t>
  </si>
  <si>
    <t>очередь включения индикации (для справки)</t>
  </si>
  <si>
    <t>Максимальное количество</t>
  </si>
  <si>
    <t>Имя (дублер)</t>
  </si>
  <si>
    <t>Извещатели</t>
  </si>
  <si>
    <t>22051E</t>
  </si>
  <si>
    <t>22051EI</t>
  </si>
  <si>
    <t>52051E</t>
  </si>
  <si>
    <t>52051EI</t>
  </si>
  <si>
    <t>52051RE</t>
  </si>
  <si>
    <t>52051REI</t>
  </si>
  <si>
    <t>52051HTE</t>
  </si>
  <si>
    <t>52051HTEI</t>
  </si>
  <si>
    <t>22051TE</t>
  </si>
  <si>
    <t>22051TEI</t>
  </si>
  <si>
    <t>6500/6500S</t>
  </si>
  <si>
    <t>22051EISE</t>
  </si>
  <si>
    <t>FL2011EI</t>
  </si>
  <si>
    <t>FL2012EI</t>
  </si>
  <si>
    <t>FL2022EI</t>
  </si>
  <si>
    <t>M5A</t>
  </si>
  <si>
    <t>M5A I</t>
  </si>
  <si>
    <t>WCP5A</t>
  </si>
  <si>
    <t>WCP5A I</t>
  </si>
  <si>
    <t>УДП5А</t>
  </si>
  <si>
    <t>УДП5А I</t>
  </si>
  <si>
    <t>M201E-240</t>
  </si>
  <si>
    <t>M201E</t>
  </si>
  <si>
    <t>M210E</t>
  </si>
  <si>
    <t>M220E</t>
  </si>
  <si>
    <t>M221E</t>
  </si>
  <si>
    <t>M210E-CZR</t>
  </si>
  <si>
    <t>WSO</t>
  </si>
  <si>
    <t>WSO I</t>
  </si>
  <si>
    <t>BSO</t>
  </si>
  <si>
    <t>BSO I</t>
  </si>
  <si>
    <t>WSS</t>
  </si>
  <si>
    <t>WSS I</t>
  </si>
  <si>
    <t>BSS</t>
  </si>
  <si>
    <t>BSS I</t>
  </si>
  <si>
    <t>WST</t>
  </si>
  <si>
    <t>Аксесуары</t>
  </si>
  <si>
    <t>6500RTS-KEY</t>
  </si>
  <si>
    <t>6500RTS-KEY Выносной пульт управления</t>
  </si>
  <si>
    <t>RA100Z</t>
  </si>
  <si>
    <t>IST200</t>
  </si>
  <si>
    <t>KFD0</t>
  </si>
  <si>
    <t>Сопротивление изолятора, Ом</t>
  </si>
  <si>
    <t>доп. ток изолятора КЗ, мА</t>
  </si>
  <si>
    <t>Ток индикации тревоги, мА</t>
  </si>
  <si>
    <t>Ток в дежурном режиме, мА</t>
  </si>
  <si>
    <t>Доб ток</t>
  </si>
  <si>
    <t>строба, мА</t>
  </si>
  <si>
    <t>Громкость, тон</t>
  </si>
  <si>
    <t>Коэффициент потребления тока от источника питания 24 В</t>
  </si>
  <si>
    <t>Коэффициент потребления тока от источника резервного питания</t>
  </si>
  <si>
    <t>Коэффициент пересчета с 24 В на АКБ</t>
  </si>
  <si>
    <t>Максимальное количество индикаторов в Адвансед протокол</t>
  </si>
  <si>
    <t>Высокая, 1</t>
  </si>
  <si>
    <t>Высокая, 2</t>
  </si>
  <si>
    <t>Высокая, 3</t>
  </si>
  <si>
    <t>Высокая, 4</t>
  </si>
  <si>
    <t>Высокая, 5</t>
  </si>
  <si>
    <t>Высокая, 6</t>
  </si>
  <si>
    <t>Высокая, 7</t>
  </si>
  <si>
    <t>Высокая, 8</t>
  </si>
  <si>
    <t>Высокая, 9</t>
  </si>
  <si>
    <t>Высокая, 10</t>
  </si>
  <si>
    <t>Высокая, 11</t>
  </si>
  <si>
    <t>Высокая, 12</t>
  </si>
  <si>
    <t>Высокая, 13</t>
  </si>
  <si>
    <t>Высокая, 14</t>
  </si>
  <si>
    <t>Высокая, 15</t>
  </si>
  <si>
    <t>Высокая, 16</t>
  </si>
  <si>
    <t>Высокая, 17</t>
  </si>
  <si>
    <t>Высокая, 18</t>
  </si>
  <si>
    <t>Высокая, 19</t>
  </si>
  <si>
    <t>Высокая, 20</t>
  </si>
  <si>
    <t>Высокая, 21</t>
  </si>
  <si>
    <t>Высокая, 22</t>
  </si>
  <si>
    <t>Высокая, 23</t>
  </si>
  <si>
    <t>Высокая, 24</t>
  </si>
  <si>
    <t>Высокая, 25</t>
  </si>
  <si>
    <t>Высокая, 26</t>
  </si>
  <si>
    <t>Высокая, 27</t>
  </si>
  <si>
    <t>Высокая, 28</t>
  </si>
  <si>
    <t>Высокая, 29</t>
  </si>
  <si>
    <t>Высокая, 30</t>
  </si>
  <si>
    <t>Высокая, 31</t>
  </si>
  <si>
    <t>Высокая, 32</t>
  </si>
  <si>
    <t>Средняя, 1</t>
  </si>
  <si>
    <t>Средняя, 2</t>
  </si>
  <si>
    <t>Средняя, 3</t>
  </si>
  <si>
    <t>Средняя, 4</t>
  </si>
  <si>
    <t>Средняя, 5</t>
  </si>
  <si>
    <t>Средняя, 6</t>
  </si>
  <si>
    <t>Средняя, 7</t>
  </si>
  <si>
    <t>Средняя, 8</t>
  </si>
  <si>
    <t>Средняя, 9</t>
  </si>
  <si>
    <t>Средняя, 10</t>
  </si>
  <si>
    <t>Средняя, 11</t>
  </si>
  <si>
    <t>Средняя, 12</t>
  </si>
  <si>
    <t>Средняя, 13</t>
  </si>
  <si>
    <t>Средняя, 14</t>
  </si>
  <si>
    <t>Средняя, 15</t>
  </si>
  <si>
    <t>Средняя, 16</t>
  </si>
  <si>
    <t>Средняя, 17</t>
  </si>
  <si>
    <t>Средняя, 18</t>
  </si>
  <si>
    <t>Средняя, 19</t>
  </si>
  <si>
    <t>Средняя, 20</t>
  </si>
  <si>
    <t>Средняя, 21</t>
  </si>
  <si>
    <t>Средняя, 22</t>
  </si>
  <si>
    <t>Средняя, 23</t>
  </si>
  <si>
    <t>Средняя, 24</t>
  </si>
  <si>
    <t>Средняя, 25</t>
  </si>
  <si>
    <t>Средняя, 26</t>
  </si>
  <si>
    <t>Средняя, 27</t>
  </si>
  <si>
    <t>Средняя, 28</t>
  </si>
  <si>
    <t>Средняя, 29</t>
  </si>
  <si>
    <t>Средняя, 30</t>
  </si>
  <si>
    <t>Средняя, 31</t>
  </si>
  <si>
    <t>Средняя, 32</t>
  </si>
  <si>
    <t>Коэффициент распределения нагрузки в шлейфе</t>
  </si>
  <si>
    <t>Максимальное сопротивление адресного шлейфа, Ом</t>
  </si>
  <si>
    <t>0. На этот лист собраны текстовые заметки, лист по умолчанию скрыт от пользователя</t>
  </si>
  <si>
    <t>Параметр</t>
  </si>
  <si>
    <t>Способ проверки</t>
  </si>
  <si>
    <t>Количество устройств одного типа</t>
  </si>
  <si>
    <t>Индикация</t>
  </si>
  <si>
    <t>Ток шлейфа в дежурном режиме, мА</t>
  </si>
  <si>
    <t>Ток шлейфа максимальный, в режиме активности, мА</t>
  </si>
  <si>
    <t>Ток шлейфа максимально допустимый, мА</t>
  </si>
  <si>
    <t>Таблица 1а. Проверка расчета.</t>
  </si>
  <si>
    <t>Количество устройств в адресном шлейфе</t>
  </si>
  <si>
    <t>Количество занятых адресов датчиков (с 1 по 159)</t>
  </si>
  <si>
    <t>Количество изоляторов короткого замыкания</t>
  </si>
  <si>
    <t>Количество искробезопасных извещателей</t>
  </si>
  <si>
    <t>Сопротивление кабеля, 2хОм/км</t>
  </si>
  <si>
    <t>Длина шлейфа</t>
  </si>
  <si>
    <t>Ток сработавших изоляторов КЗ, мА</t>
  </si>
  <si>
    <t>Сопротивление, вносимое изоляторами КЗ, Ом</t>
  </si>
  <si>
    <t>Максимальное сопротивление шлейфа, Ом</t>
  </si>
  <si>
    <t>Запас по максимальному току, %</t>
  </si>
  <si>
    <t>*************</t>
  </si>
  <si>
    <t>Поле дополнительных данных</t>
  </si>
  <si>
    <t>Использовать M201E</t>
  </si>
  <si>
    <t>Срабатывать изоляторы КЗ при активности</t>
  </si>
  <si>
    <t>АВТО</t>
  </si>
  <si>
    <t>ДА</t>
  </si>
  <si>
    <t>Таблица 8. Выбор параметров разработчика.</t>
  </si>
  <si>
    <t>Таблица 9. Коэффициенты потребления тока к таблицам 1, 3 и 4.</t>
  </si>
  <si>
    <t>Таблица 10. Максимальное количество устройств, индицирующих тревогу к таблице 1.</t>
  </si>
  <si>
    <t>Внешнее</t>
  </si>
  <si>
    <t>Питание</t>
  </si>
  <si>
    <t>Ток АР, мА</t>
  </si>
  <si>
    <t>Ток ДР, мА</t>
  </si>
  <si>
    <t>Шлейф</t>
  </si>
  <si>
    <t>Таблица 11. Список выбора и добавочные токи для M210E-CZR, к таблице 1.</t>
  </si>
  <si>
    <t>Ток, мА</t>
  </si>
  <si>
    <t>Таблица 11а. Выбор оповещателя к таблице 1.</t>
  </si>
  <si>
    <t>КРН в шлейфе</t>
  </si>
  <si>
    <t>Вся нагрузка на одном конце шлейфа</t>
  </si>
  <si>
    <t>Равномерное распределение</t>
  </si>
  <si>
    <t>Неравномерное распределение</t>
  </si>
  <si>
    <t>Согласно реализации протокола</t>
  </si>
  <si>
    <t>Согласно ГОСТ</t>
  </si>
  <si>
    <t>Максимальная длина шлейфа по старому протоколу</t>
  </si>
  <si>
    <t>Добавочная длина шлейфа по новому протоколу</t>
  </si>
  <si>
    <t>Таблица 13. Данные для определения длины шлейфа к таблице 5.</t>
  </si>
  <si>
    <t>N. Verlog</t>
  </si>
  <si>
    <t>3.8.1.</t>
  </si>
  <si>
    <t>Почалось</t>
  </si>
  <si>
    <t>3.8.2.</t>
  </si>
  <si>
    <t>Ввел, так как удалил столбцы с токами ЦЗР при питании шлейфа от шлейфа из таблицы 1 и теперь добавляю их из таблицы 11</t>
  </si>
  <si>
    <t>Удельное сопротивление меди, Ом*м*10E-6</t>
  </si>
  <si>
    <t>Длина отрезка кабеля, за пару, поэтому 2000 м.</t>
  </si>
  <si>
    <t>Таблица 14. Падение напряжения в шлейфе и процент запаса длины шлейфа. Данные к таблице 7.</t>
  </si>
  <si>
    <t>Максимально допустимое падение напряжения в кабеле, мВ</t>
  </si>
  <si>
    <t>Ток одного сработавшего изолятора короткого замыкания, мА</t>
  </si>
  <si>
    <t>Процент запаса длины шлейфа, вводится разработчиком</t>
  </si>
  <si>
    <t>Таблица 12. Выбор коэффициента распределения нагрузки шлейфа к таблице 2.</t>
  </si>
  <si>
    <t>Устанавливать М201Е</t>
  </si>
  <si>
    <t>Включить сработку ИКЗ в активность</t>
  </si>
  <si>
    <t>НЕТ</t>
  </si>
  <si>
    <t>Таблица 14. Коэффициенты к таблице 4.</t>
  </si>
  <si>
    <t>Коэффициент запаса емкости АКБ</t>
  </si>
  <si>
    <t>Время работы в дежурном режиме</t>
  </si>
  <si>
    <t>Время работы в режиме активности</t>
  </si>
  <si>
    <t>Максимальный добавочный ток индикации тревоги, мА</t>
  </si>
  <si>
    <t>Количество искробезопасных извещателей на преобразователь</t>
  </si>
  <si>
    <t>Справочная величина</t>
  </si>
  <si>
    <t>Сечение жил кабеля, мм2</t>
  </si>
  <si>
    <t>Таблица 16. Общая проверка расчета, параметры.</t>
  </si>
  <si>
    <t>Максимальное количество адресов адвансед</t>
  </si>
  <si>
    <t>Максимальное количество адресов старый протокол</t>
  </si>
  <si>
    <t>Максимальное количество изоляторов КЗ</t>
  </si>
  <si>
    <t>Максимальное количество устройств на один изолятор КЗ</t>
  </si>
  <si>
    <t>Максимальное количество ИБ извещателей на преобразователь</t>
  </si>
  <si>
    <t>Превышен максимальный ток шлейфа</t>
  </si>
  <si>
    <t>Превышено максимальное количество извещателей</t>
  </si>
  <si>
    <t>Превышено максимальное количество извещателей (старый протокол)</t>
  </si>
  <si>
    <t>Превышено максимальное количество модулей</t>
  </si>
  <si>
    <t>Превышено максимальное количество модулей (старый протокол)</t>
  </si>
  <si>
    <t>Превышено количество искробезопасных на преобразователь</t>
  </si>
  <si>
    <t>Нет преобразователей для искробезопасных оповещателей</t>
  </si>
  <si>
    <t>Есть неучитываемые изоляторы</t>
  </si>
  <si>
    <t>Есть неучитываемые ВУОСы</t>
  </si>
  <si>
    <t>Количество устройств на изолятор короткого замыкания</t>
  </si>
  <si>
    <t>Есть неучитываемые РТС-КЕЙ</t>
  </si>
  <si>
    <t>Описание</t>
  </si>
  <si>
    <t>Результат</t>
  </si>
  <si>
    <t>Текст сообщения</t>
  </si>
  <si>
    <t>Расчет верен</t>
  </si>
  <si>
    <t>Превышено количество изоляторов</t>
  </si>
  <si>
    <t>Ошибка расчета искробезопасных извещателей</t>
  </si>
  <si>
    <t>Указано больше ВУОСов, чем извещателей</t>
  </si>
  <si>
    <t>Таблица 0. Параметры устройств.</t>
  </si>
  <si>
    <t>Тоже 3.8.2</t>
  </si>
  <si>
    <t>Дописал таблицы и покрасил. С 13.10.2020 будет версия 3.8.3.</t>
  </si>
  <si>
    <t>VerLog</t>
  </si>
  <si>
    <t>Проверка ввода данных, сравнение со столбцом "Максимальное количество", целое число</t>
  </si>
  <si>
    <t>Окно останова</t>
  </si>
  <si>
    <t>Количество устройств RA100Z и 6500RTS-KEY</t>
  </si>
  <si>
    <t>Наличие устройства</t>
  </si>
  <si>
    <t>Количество устройств больше 0</t>
  </si>
  <si>
    <t>Окно предупреждения, УФ - оранжевая заливка</t>
  </si>
  <si>
    <t>УФ - желтая заливка</t>
  </si>
  <si>
    <t>Наличие ИКЗ у устройств</t>
  </si>
  <si>
    <t>Проверка ввода данных, сравнение со столбцом "Количество устройств", целое число</t>
  </si>
  <si>
    <t>Окно останова, УФ - оранжевая заливка</t>
  </si>
  <si>
    <t>Количество ИКЗ у устройств</t>
  </si>
  <si>
    <t>Количество ИКЗ больше 0</t>
  </si>
  <si>
    <t>Громкость, тон/питание цзр</t>
  </si>
  <si>
    <t>Проверка ввода данных, из списка</t>
  </si>
  <si>
    <t>Количество 22051EISE больше 0 при отсутствии IST200</t>
  </si>
  <si>
    <t>УФ - красная заливка</t>
  </si>
  <si>
    <t>Количество 22051EISE больше 15 на один IST200</t>
  </si>
  <si>
    <t>Количество устройств больше 0 при отсутствии аксессуаров</t>
  </si>
  <si>
    <t>Количество устройств превышает количество аксессуаров в более чем 15 раз</t>
  </si>
  <si>
    <t>УФ - оранжевая заливка</t>
  </si>
  <si>
    <t xml:space="preserve">          в том числе на адресах с 1 по 99 (старый протокол)</t>
  </si>
  <si>
    <t>Количество занятых адресов модулей (с 161 по 319)</t>
  </si>
  <si>
    <t xml:space="preserve">          в том числе на адресах с 161 по 259 (старый протокол)</t>
  </si>
  <si>
    <t>Отличие значений в таблице 2 от значений по умолчанию</t>
  </si>
  <si>
    <t>Значение не равно значению по умолчанию</t>
  </si>
  <si>
    <t>т.1а "Расчет верен"</t>
  </si>
  <si>
    <t>Нет ошибок в т.17 и количество устройств больше 0</t>
  </si>
  <si>
    <t>УФ - зеленая заливка, шрифт авто-полужирный</t>
  </si>
  <si>
    <t>т.1а "Превышен максимальный ток шлейфа"</t>
  </si>
  <si>
    <t>Ток шлейфа в режиме активности больше максимального</t>
  </si>
  <si>
    <t>т.1а "Превышена максимальная емкость АКБ"</t>
  </si>
  <si>
    <t>Емкость АКБ больше 17 Ач</t>
  </si>
  <si>
    <t>УФ - красная заливка, шрифт авто-полужирный, в т.ч. ток в активности</t>
  </si>
  <si>
    <t>УФ - красная заливка, шрифт авто-полужирный, в т.ч. емкость АКБ и рекомендуемая емкость АКБ</t>
  </si>
  <si>
    <t>т.1а "Превышено количество извещателей"</t>
  </si>
  <si>
    <t>Количество извещателей больше 159 или по старому протоколу больше 99</t>
  </si>
  <si>
    <t>УФ - красная заливка, шрифт авто-полужирный, в т.ч. количество по адв. или старому протоколу и все добавленые извещатели</t>
  </si>
  <si>
    <t>т.1а "Превышено количество модулей"</t>
  </si>
  <si>
    <t>Количество модулей больше 159 или по старому протоколу больше 99</t>
  </si>
  <si>
    <t>УФ - красная заливка, шрифт авто-полужирный, в т.ч. количество по адв. или старому протоколу и все добавленые модули</t>
  </si>
  <si>
    <t>Изоляторов больше, чем устройств данного типа</t>
  </si>
  <si>
    <t>3.8.3.</t>
  </si>
  <si>
    <t>Доделал таблицу 1а</t>
  </si>
  <si>
    <t>т.1а "Превышено количество изоляторов"</t>
  </si>
  <si>
    <t>Количество изоляторов КЗ больше чем 1 на 15 устройств</t>
  </si>
  <si>
    <t>УФ - оранжевая заливка, штриховка по добавленым изоляторам</t>
  </si>
  <si>
    <t>т.1а "Ошибка расчета искробезопасных извещателей" (красная)</t>
  </si>
  <si>
    <t>т.1а "Ошибка расчета искробезопасных извещателей" (оранж)</t>
  </si>
  <si>
    <t>Добавлены искробезопасные извещатели и не добавлены интеллектуальные преобразователи ИЛИ количество извещателей превышает 15 на преобразователь</t>
  </si>
  <si>
    <t>УФ - красная заливка, шрифт авто-полужирный, в т.ч. строка извещателей и количество преобразователей</t>
  </si>
  <si>
    <t>Добавлены преобразователи но не добавлены извещатели</t>
  </si>
  <si>
    <t>УФ - оранжевая заливка, штриховка по добавленым преобразователям, заливка по количеству извещателей</t>
  </si>
  <si>
    <t>т.1а "Изоляторов больше чем устройств данного типа"</t>
  </si>
  <si>
    <t>Количество изоляторов добавленных к устройству данного типа превышает количество устройств данного типа</t>
  </si>
  <si>
    <t>УФ - оранжевая заливка, в т.ч. по типу и количеству изоляторов</t>
  </si>
  <si>
    <t>т.1а "Больше ВУОСов, чем извещателей"</t>
  </si>
  <si>
    <t>Количество ВУОСов превышает сумму количества ивещателей 22…. и 52….</t>
  </si>
  <si>
    <t>УФ - оранжевая заливка, в т.ч. штриховку по ВУОСам</t>
  </si>
  <si>
    <t>т.1а "Больше RTS-KEY чем 6500"</t>
  </si>
  <si>
    <t>Количество 6500RTS-KEY превышает сумму количества ивещателей 6500</t>
  </si>
  <si>
    <t>УФ - оранжевая заливка, в т.ч. штриховку по 6500RTS-KEY</t>
  </si>
  <si>
    <t>3.8.4.</t>
  </si>
  <si>
    <t>Закончил всю индикацию</t>
  </si>
  <si>
    <t>3.8.5.</t>
  </si>
  <si>
    <t>Ввожу форматирование числовых значений</t>
  </si>
  <si>
    <t>Не работало исключение сработки ИКЗ, теперь работает</t>
  </si>
  <si>
    <t>Снял защиту с редактируемых ячеек</t>
  </si>
  <si>
    <t>3.8.6.</t>
  </si>
  <si>
    <t>Теперь выключаю доп. данные по условному форматированию.</t>
  </si>
  <si>
    <t>Скрываю этот лист</t>
  </si>
  <si>
    <t>Сохраняю как 4.0</t>
  </si>
  <si>
    <t>Защищаю книгу</t>
  </si>
  <si>
    <t>Важная добавочка</t>
  </si>
  <si>
    <t>4.1.</t>
  </si>
  <si>
    <t>Добавил два правила условного форматирования, хотя, думаю, хватило бы и одного: одно белит текст, другое - белит текст и границы ячеек.</t>
  </si>
  <si>
    <t>Калькулятор СФ-МАШ-4</t>
  </si>
  <si>
    <t>Тип устройства</t>
  </si>
  <si>
    <t>4.0.2</t>
  </si>
  <si>
    <t>Ошибка критическая, неверно считается ток ЦЗР в режиме питания по шлейфу, по мере уборки индикации падал ток, теперь поправил, все работает как надо.</t>
  </si>
  <si>
    <t>Изменение в таблице, теперь, как и раньше, для устройства без изолятора пишется "НЕТ" в количестве изоляторов</t>
  </si>
  <si>
    <t>Изменено детектирование количество преобразователей при нулевом количестве извещателей, теперь количество преобразователей больше количества извещателей</t>
  </si>
  <si>
    <t>Исправил ошибку, что при выборе в таблице 2 40 Ом, строка не перекрашивалась в желтый</t>
  </si>
  <si>
    <t>Добавочный ток всех сработавших оповещателей, мА</t>
  </si>
  <si>
    <t>Таблица 15. Выбор к таблице 8. Выбор падения напряжения в шлейфе к таблице 14</t>
  </si>
  <si>
    <t>4.0.3.</t>
  </si>
  <si>
    <t>Для корректного определения длины шлейфа при работе с M201E в режиме АВТО подобрал значение падения напряжения в шлейфе. Теперь, при выставлении АВТО в таблицу 14 пишется не 12800, а 15200, если, конечно, нет M201E</t>
  </si>
  <si>
    <t>Но это не точно, увы.</t>
  </si>
  <si>
    <t>Таблица 13. Выбор сопротивления шлейфа к таблице 2.</t>
  </si>
  <si>
    <t>Сопротивление шлейфа, Ом</t>
  </si>
  <si>
    <t>4.0.4</t>
  </si>
  <si>
    <t>Теперь точно, Максимальный ток шлейфа считается исходя из падения напряжения и заданной величины максимального сопротивления шлейфа. Другой расчет - те же значения (почти).</t>
  </si>
  <si>
    <t>Первая версия переработанного калькулятора</t>
  </si>
  <si>
    <t>Исправил условное форматирование для выделения извещателей, если их больше 159</t>
  </si>
  <si>
    <t>Поменял условное форматирование для преобразователей больше чем извещателей, теперь выделяется количество извещателей на преобразователь с припиской "&lt;1"</t>
  </si>
  <si>
    <t>Нет искробезопасных извещателей для преобразователей</t>
  </si>
  <si>
    <t>Исправил описание в таблице 17</t>
  </si>
  <si>
    <t>Указано больше пультов, чем 6500(S)</t>
  </si>
  <si>
    <t>Поменял условное форматирование для ВУОС и 6500RTS-KEY</t>
  </si>
  <si>
    <t>Немного изменил описание версии, убрал слова "для пользователей", чтобы не запутаться. Именно эта версия теперь 4.1</t>
  </si>
  <si>
    <t>В старом экселе не скрываются данные, поэтому делаю белый цвет текста и рамок</t>
  </si>
  <si>
    <t>Убрал правило, которое белит только текст</t>
  </si>
  <si>
    <t>Последний гвоздь: утащил все допданные и таблицу 0 на лист "Данные", теперь можно и в релиз.</t>
  </si>
  <si>
    <t>4.1.1</t>
  </si>
  <si>
    <t>Попытка ввести СФ-МКП-220</t>
  </si>
  <si>
    <t>МКП</t>
  </si>
  <si>
    <t>Таблица 11б. Добавочный ток СФ-МКП-220 при отсутствии сетевого напряжения</t>
  </si>
  <si>
    <t>Добавочный ток, мА</t>
  </si>
  <si>
    <t>1. добавил таблицу 11б, этот ток добавляется к току дежурного режима при отсутствии сетевого напряжения. Учитывается всегда, дабы не вводить в заблуждения проектировщиков. т.о, ток МКП в любом режиме составляет 2,4*КПТ24 мА</t>
  </si>
  <si>
    <t>Количество занимаемых адресов</t>
  </si>
  <si>
    <t>4.2.</t>
  </si>
  <si>
    <t>Добавлен СФ-МКП-220</t>
  </si>
  <si>
    <t>2. добавил запись о необходимости Б-01 с АКБ 17 Ач, ряд АКБ сохранил: 7-12-17+Б-01-более 17=ошибка</t>
  </si>
  <si>
    <t>Эта версия пойдет для пользователей как версия 4.2</t>
  </si>
  <si>
    <t>Помимо этого обнаружил ошибку в сиренах, перепутаны с и без изолятора КЗ</t>
  </si>
  <si>
    <t>СФ-МКП-220 Адресный блок управления клапаном</t>
  </si>
  <si>
    <t>Вычет количества индицирующих1</t>
  </si>
  <si>
    <t>Вычет количества индицирующих2</t>
  </si>
  <si>
    <t>Вычет количества индицирующих3</t>
  </si>
  <si>
    <t>Вычет количества индицирующих4</t>
  </si>
  <si>
    <t>Количество ИКЗ, учитываемое1</t>
  </si>
  <si>
    <t>Сопротивление изоляторов1</t>
  </si>
  <si>
    <t>Все устройства работают по новому протоколу1</t>
  </si>
  <si>
    <t>Все устройства работают по новому протоколу2</t>
  </si>
  <si>
    <t>Все устройства работают по новому протоколу3</t>
  </si>
  <si>
    <t>Все устройства работают по новому протоколу4</t>
  </si>
  <si>
    <t>Количество ИКЗ, учитываемое2</t>
  </si>
  <si>
    <t>Сопротивление изоляторов2</t>
  </si>
  <si>
    <t>Количество ИКЗ, учитываемое3</t>
  </si>
  <si>
    <t>Сопротивление изоляторов3</t>
  </si>
  <si>
    <t>Количество ИКЗ, учитываемое4</t>
  </si>
  <si>
    <t>Сопротивление изоляторов4</t>
  </si>
  <si>
    <t>Таблица 17.1 Общая проверка расчета, итог. (1)</t>
  </si>
  <si>
    <t>Таблица 17.1 Общая проверка расчета, итог. (2)</t>
  </si>
  <si>
    <t>Таблица 17.1 Общая проверка расчета, итог. (3)</t>
  </si>
  <si>
    <t>Таблица 17.1 Общая проверка расчета, итог. (4)</t>
  </si>
  <si>
    <t>Ток, потребляемый модулем СФ-МАШ-4, мА</t>
  </si>
  <si>
    <t>Общий ток, потребляемый в дежурном режиме, мА</t>
  </si>
  <si>
    <t>Общий ток, потребляемый в режиме активности, мА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</si>
  <si>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</si>
  <si>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</si>
  <si>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</si>
  <si>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</si>
  <si>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</si>
  <si>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</si>
  <si>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</si>
  <si>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</si>
  <si>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</si>
  <si>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</si>
  <si>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</si>
  <si>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</si>
  <si>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</si>
  <si>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</si>
  <si>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</si>
  <si>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</si>
  <si>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</si>
  <si>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</si>
  <si>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</si>
  <si>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</si>
  <si>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</si>
  <si>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</si>
  <si>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</si>
  <si>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</si>
  <si>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4.2-shs</t>
  </si>
  <si>
    <t>Попытка переделать в шкафной вариант. Первый подход - изменен лист данных, добавлены различающиеся данные для всех МАШ. Также добавлено 3 листа МАШ.</t>
  </si>
  <si>
    <t>4.4-shs</t>
  </si>
  <si>
    <t>Исправлена ВПР</t>
  </si>
  <si>
    <t>Добавлены дубли сирен с разной громкостью</t>
  </si>
  <si>
    <t>WSO-PR-N00 AP ID63 Оповещатель адресный звуковой 🔉</t>
  </si>
  <si>
    <t>WSO-PR-N00 AP ID63 Оповещатель адресный звуковой 🔊</t>
  </si>
  <si>
    <t>WSO-PR-I00 AP ID63 Оповещатель адресный звуковой с изолятором КЗ 🔉</t>
  </si>
  <si>
    <t>WSO-PR-I00 AP ID63 Оповещатель адресный звуковой с изолятором КЗ 🔊</t>
  </si>
  <si>
    <t>BSO-DD-N00 AP ID63 Оповещатель адресный звуковой 🔉</t>
  </si>
  <si>
    <t>BSO-DD-N00 AP ID63 Оповещатель адресный звуковой 🔊</t>
  </si>
  <si>
    <t>BSO-DD-I00 AP ID63 Оповещатель адресный звуковой с изолятором КЗ 🔉</t>
  </si>
  <si>
    <t>BSO-DD-I00 AP ID63 Оповещатель адресный звуковой с изолятором КЗ 🔊</t>
  </si>
  <si>
    <t>WSS-PR-N00 AP ID63 Оповещатель адресный светозвуковой 🔉</t>
  </si>
  <si>
    <t>WSS-PR-N00 AP ID63 Оповещатель адресный светозвуковой 🔊</t>
  </si>
  <si>
    <t>WSS-PR-I00 AP ID63 Оповещатель адресный светозвуковой с изолятором КЗ 🔉</t>
  </si>
  <si>
    <t>WSS-PR-I00 AP ID63 Оповещатель адресный светозвуковой с изолятором КЗ 🔊</t>
  </si>
  <si>
    <t>BSS-PC-N00 AP ID63 Оповещатель адресный светозвуковой 🔉</t>
  </si>
  <si>
    <t>BSS-PC-N00 AP ID63 Оповещатель адресный светозвуковой 🔊</t>
  </si>
  <si>
    <t>BSS-PC-I00 AP ID63 Оповещатель адресный светозвуковой с изолятором КЗ 🔉</t>
  </si>
  <si>
    <t>BSS-PC-I00 AP ID63 Оповещатель адресный светозвуковой с изолятором КЗ 🔊</t>
  </si>
  <si>
    <t>Калькулятор шкафа пожарной сигнализации СФ-ШС-24</t>
  </si>
  <si>
    <t>Исполнение</t>
  </si>
  <si>
    <t>Таблица 1.1. Размещение модулей прибора Сфера 8500.</t>
  </si>
  <si>
    <t>СФ-АР5008</t>
  </si>
  <si>
    <t>СФ-КУ4005</t>
  </si>
  <si>
    <t>СФ-МАШ-4</t>
  </si>
  <si>
    <t>СФ-РМ3004</t>
  </si>
  <si>
    <t>СФ-МК4044</t>
  </si>
  <si>
    <t>СФ-ЕТ6010.3</t>
  </si>
  <si>
    <t>2x СФ-УЗ2002 DIN</t>
  </si>
  <si>
    <t>СФ-БЗЛ</t>
  </si>
  <si>
    <t>DIN-рейка</t>
  </si>
  <si>
    <t>Кол-во</t>
  </si>
  <si>
    <t>/</t>
  </si>
  <si>
    <t>Кол-во макс.</t>
  </si>
  <si>
    <t>Верхняя</t>
  </si>
  <si>
    <t>Средняя</t>
  </si>
  <si>
    <t>Нижняя</t>
  </si>
  <si>
    <t>Всего</t>
  </si>
  <si>
    <t>Способ подключения шлейфов/количество используемых реле</t>
  </si>
  <si>
    <t>НЗ контакты</t>
  </si>
  <si>
    <t>НР контакты</t>
  </si>
  <si>
    <t>Таблица 1.2. Размещение модулей System Sensor.</t>
  </si>
  <si>
    <t>M201E-240 DIN</t>
  </si>
  <si>
    <t>Таблица 1.3. Электрические параметры.</t>
  </si>
  <si>
    <t>Модуль</t>
  </si>
  <si>
    <t>СФ-АКИП</t>
  </si>
  <si>
    <t>Количество</t>
  </si>
  <si>
    <t>Режим</t>
  </si>
  <si>
    <t>Дежур- ный</t>
  </si>
  <si>
    <t>Актив -ность</t>
  </si>
  <si>
    <t>Дежур-ный</t>
  </si>
  <si>
    <t>Актив-ность</t>
  </si>
  <si>
    <t>Ток одного модуля, мА</t>
  </si>
  <si>
    <t>Ток всех модулей, мА</t>
  </si>
  <si>
    <t>Таблица 1.4. Дополнительные параметры питания</t>
  </si>
  <si>
    <t>Токи внешних цепей</t>
  </si>
  <si>
    <t>Питание           M210E-CZR</t>
  </si>
  <si>
    <t>Источник питания</t>
  </si>
  <si>
    <t>ВЫХОД 24 В</t>
  </si>
  <si>
    <t>СФ-ШС-24</t>
  </si>
  <si>
    <t>Подключено к шкафу</t>
  </si>
  <si>
    <t>Таблица 1.5. Емкость аккумуляторной батареи.</t>
  </si>
  <si>
    <t>Ток потребления в дежурном режиме, мА</t>
  </si>
  <si>
    <t>Ток потребления в режиме активности, мА</t>
  </si>
  <si>
    <t>Необходимая емкость аккумуляторной батареи, Ач</t>
  </si>
  <si>
    <t>Выводить реле "Неисправность" модуля СФ-АКИП</t>
  </si>
  <si>
    <t>Используется дополнительный гермоввод</t>
  </si>
  <si>
    <t>Количество гермовводов в крышке:</t>
  </si>
  <si>
    <t>Остаток</t>
  </si>
  <si>
    <t>ltop</t>
  </si>
  <si>
    <t>верхняя</t>
  </si>
  <si>
    <t>lmid</t>
  </si>
  <si>
    <t>средняя</t>
  </si>
  <si>
    <t>lbot</t>
  </si>
  <si>
    <t>нижняя</t>
  </si>
  <si>
    <t>ar</t>
  </si>
  <si>
    <t>ku</t>
  </si>
  <si>
    <t>rm</t>
  </si>
  <si>
    <t>mk</t>
  </si>
  <si>
    <t>et</t>
  </si>
  <si>
    <t>bz</t>
  </si>
  <si>
    <t>uz</t>
  </si>
  <si>
    <t>lmod</t>
  </si>
  <si>
    <t>Длина модуля на рейке</t>
  </si>
  <si>
    <t>lklm</t>
  </si>
  <si>
    <t>Длина клеммника на рейке (нижней)</t>
  </si>
  <si>
    <t>Nmax</t>
  </si>
  <si>
    <t>Ограничение на количество модулей (не геометрическое)</t>
  </si>
  <si>
    <t>Nvt</t>
  </si>
  <si>
    <t>сч.отд</t>
  </si>
  <si>
    <t>Количество втулок</t>
  </si>
  <si>
    <t>m240</t>
  </si>
  <si>
    <t>m201</t>
  </si>
  <si>
    <t>m210</t>
  </si>
  <si>
    <t>m220</t>
  </si>
  <si>
    <t>m221</t>
  </si>
  <si>
    <t>mczr</t>
  </si>
  <si>
    <t>Кол-во модулей по МАШам</t>
  </si>
  <si>
    <t>Флаг, показывающий, что модулей на линиях меньше, чем в шкафу</t>
  </si>
  <si>
    <t>АР</t>
  </si>
  <si>
    <t>КУ</t>
  </si>
  <si>
    <t>Внешние цепи</t>
  </si>
  <si>
    <t>НЗ контакты с Rш</t>
  </si>
  <si>
    <t>НР контакты с Rдоп</t>
  </si>
  <si>
    <t>Разные</t>
  </si>
  <si>
    <t>2 ВЫХОД 24 В</t>
  </si>
  <si>
    <t>Токопотребляющие</t>
  </si>
  <si>
    <t>CZR</t>
  </si>
  <si>
    <t>Вводов</t>
  </si>
  <si>
    <t>предел</t>
  </si>
  <si>
    <t>Внешний / Шлейф</t>
  </si>
  <si>
    <t>Превышен ток в дежурном режиме</t>
  </si>
  <si>
    <t>Превышен ток в режиме активности</t>
  </si>
  <si>
    <t>Реле Неисправность</t>
  </si>
  <si>
    <t>Превышена емкость АКБ</t>
  </si>
  <si>
    <t>mash</t>
  </si>
  <si>
    <t>uzl</t>
  </si>
  <si>
    <t>bzl</t>
  </si>
  <si>
    <t>Выходы</t>
  </si>
  <si>
    <t>РМ</t>
  </si>
  <si>
    <t>МК</t>
  </si>
  <si>
    <t>АКИП-потребление</t>
  </si>
  <si>
    <t>УЗЛ-потребление 1 шт.</t>
  </si>
  <si>
    <t>НЗ</t>
  </si>
  <si>
    <t>Ток ДР</t>
  </si>
  <si>
    <t>Ток все АР</t>
  </si>
  <si>
    <t>Д. ток 1 АР</t>
  </si>
  <si>
    <t>ТП</t>
  </si>
  <si>
    <t>Пометочка для себя, если решу добавить ещё модули: если добывил модуль на рейку, а максимальное количество возросло - добавь расчет длины модуля на ДИН-рейки! А для безклемных с ограничением по количеству вычитай из предела сумму модулей</t>
  </si>
  <si>
    <t>2.1</t>
  </si>
  <si>
    <t>Первая версия</t>
  </si>
  <si>
    <t>2.2</t>
  </si>
  <si>
    <t>В расчетах максимального количества модулей "ЧАСТНОЕ" заменено на "ОКРВНИЗ" до единицы от деления, т.к. оно работает быстрее и не дает переключить ячейку в случае ошибки</t>
  </si>
  <si>
    <t>Добавлены описания ошибки при превышении максимального количества модулей</t>
  </si>
  <si>
    <t>Добавлено поле детектора ошибок, пока не подключено</t>
  </si>
  <si>
    <t>Добавлено поле токов, теперь АР и КУ вынесены сюда</t>
  </si>
  <si>
    <t>Изменены сообщения об ошибках при некорректном вводе данных</t>
  </si>
  <si>
    <t>2.2.1 В калькуляторы СФ-АР5008 и СФ-КУ4005 добавлены варианты двухпарных кабелей</t>
  </si>
  <si>
    <t>2.2.1 В общий калькулятор добавлены СФ-УЗ2002 для разветвления шлейфа</t>
  </si>
  <si>
    <t>2.2.1 Переделан расчет гермовводов в области АР и КУ, теперь количество берется с соответствующих листов. При этом, убраны 4х проводные кабели из основного расчета</t>
  </si>
  <si>
    <t>2.2.1 Переделан расчет гермовводов в области выходов и МК, была ошибка подстановки</t>
  </si>
  <si>
    <t>2.2.1 Добавлена таблица проверки</t>
  </si>
  <si>
    <t>2.2.2 Продолжаю собирать таблицу проверки, пересмотрел проверку CZR, теперь при внешнем питании CZR, установленные в шкаф все равно будут считаться в шкафном потреблении</t>
  </si>
  <si>
    <t>2.2.2 Таблица проверки работает, теперь это будет версия 2.3</t>
  </si>
  <si>
    <t>2.3.1</t>
  </si>
  <si>
    <t>Добавил справочную таблицу 1.7 с остатком длин реек. Если пойдет в релиз, назову версию 2.4</t>
  </si>
  <si>
    <t>Поменял расчет тока в режиме активности для РМ3004 и МК4044, раньше при указаном количестве выходов больше допустимого, значение считалось по кол-ву выходов, теперь - по фактическому кол-ву модулей.</t>
  </si>
  <si>
    <t>Аналогичную проверку ввел для количества гермовводов</t>
  </si>
  <si>
    <t>Добавил возможность вывести неисправность от АКИП через отдельный гермоввод</t>
  </si>
  <si>
    <t>Добавил возможность добавить СФ-БЗЛ при установке СФ-МК4044</t>
  </si>
  <si>
    <t>Добавил рамку вокруг исполнения и варианта подключения</t>
  </si>
  <si>
    <t>Теперь если способ подключения "Разные" или количество выходов СФ-МК4044 меньше количества модулей на 4, кроме 0, максимальное количество БЗЛ считается по количеству _используемых_ шлейфов</t>
  </si>
  <si>
    <t>Добавил проверку CZR на способ питания, теперь, если питание от шлейфа, нельзя добавить питание от шкафа для тех же модулей</t>
  </si>
  <si>
    <t>2.3.2</t>
  </si>
  <si>
    <t>Попробую поменять логику добавления устройств СистемСенсор в шкаф. Теперь, можно их добавить на лист шкафа, но ошибка будет писаться на все листы МАШ-4, пока не добавим в сумме нужного количества модулей</t>
  </si>
  <si>
    <t>Для этого уберу член c76-c20 из проверки максимального количества модулей</t>
  </si>
  <si>
    <t>И добавлю проверку, если кол-во МАШ-4=0, то 0</t>
  </si>
  <si>
    <t>Попробую поменять логику алертов, чтобы заоранживалась не вся таблица, а только добавленные модули</t>
  </si>
  <si>
    <t>Сделал для БЗЛ, сейчас перепишу для всех</t>
  </si>
  <si>
    <t>Поменяю правила условного форматирования, чтобы их было меньше</t>
  </si>
  <si>
    <t>Для служебных таблиц на всех листах добавил правило, если после Verlog написать 1 - они появятся, если 0 - скроются</t>
  </si>
  <si>
    <t>Закончил условное форматирование по таблицам 1.1 и 1.2, поменял лист МАШ-4 №1</t>
  </si>
  <si>
    <t>2.3.3</t>
  </si>
  <si>
    <t>Ещё один маленький шаг: колонирую лист МАШ-4 №1 на 2, 3 и 4.</t>
  </si>
  <si>
    <t>Шаг был больше, чем я думал, но оно того стоило. Привожу перечисления МАШ-4 где нахожу к одному виду: через ИЛИ</t>
  </si>
  <si>
    <t>Ещё раз переименумеровал таблицы на листах 3-5</t>
  </si>
  <si>
    <t>2.3.4</t>
  </si>
  <si>
    <t>Исправил подсчет ошибок по листам МАШ-4, теперь тоже определение МАШ-4 через ИЛИ</t>
  </si>
  <si>
    <t>Добавил вариант модули СС не используются в проверке, если их не добавлено</t>
  </si>
  <si>
    <t>2.3.5</t>
  </si>
  <si>
    <t>Исправил определение ошибки расположения, теперь, при выборе исп.1, если на верхней рейке остались модули, это не считается ошибкой</t>
  </si>
  <si>
    <t>Добавил модуль M200XE, ограничил максимальное количество как СФ-МАШ умноженное на 2</t>
  </si>
  <si>
    <t>Исправил условное форматирование ошибок, и добавлений теперь выделяется только если макс&gt;=0, а также желтое выделение если макс&gt;0. Также поле Всего не выделяется при ошибках, для однозначности.</t>
  </si>
  <si>
    <t>Планы на будущее: Переделать 1.4 CZR</t>
  </si>
  <si>
    <t>2.4</t>
  </si>
  <si>
    <t>Аналогично 2.3.5, релиз для пользователей</t>
  </si>
  <si>
    <t>2.4.1</t>
  </si>
  <si>
    <t>Добавил возможность не выбирать количество гермовводов, теперь, если выбрать "НЕТ", количество ГВ серится, изменяется надпись слева, в поле ошибок пишется 0, в поверках поле белое с подписью "Количество гермовводов не проверяется"</t>
  </si>
  <si>
    <t>Синхронизировал версии калькуляторов МАШ 3.7.1 (добавил Ush, Dr old, Dr adv). Коэффциенты вводятся только на первом листе, на остальные - копируются.</t>
  </si>
  <si>
    <t>2.4.2</t>
  </si>
  <si>
    <t>Исправил ошибку с пропуском проверки гермовводов в итоговой проверке, раньше квадратик оставался зеленым даже если гермовводов не хватало, но гермовводы давали ошибку</t>
  </si>
  <si>
    <t>akip</t>
  </si>
  <si>
    <t>Клеммник</t>
  </si>
  <si>
    <t>длина</t>
  </si>
  <si>
    <t>имя</t>
  </si>
  <si>
    <t>Стоп</t>
  </si>
  <si>
    <t>Ls</t>
  </si>
  <si>
    <t>Силовой</t>
  </si>
  <si>
    <t>Lpow</t>
  </si>
  <si>
    <t>Lstop</t>
  </si>
  <si>
    <t>Земляной малый</t>
  </si>
  <si>
    <t>Сигнальный</t>
  </si>
  <si>
    <t>Разделитель</t>
  </si>
  <si>
    <t>Ld</t>
  </si>
  <si>
    <t>Le</t>
  </si>
  <si>
    <t>МАШ-др</t>
  </si>
  <si>
    <t>МАШ-ар</t>
  </si>
  <si>
    <t>2.5</t>
  </si>
  <si>
    <t>С этой версии начинается переделка калькулятора под новый калькулятор МАШ-4 в.4.4</t>
  </si>
  <si>
    <t>2.5.0.</t>
  </si>
  <si>
    <t>Теперь это калькулятор шкафа, скопирован первый лист из старого шкафа и будет переделан</t>
  </si>
  <si>
    <t>2.5.1.</t>
  </si>
  <si>
    <t>Найдены битые связи, выделил красным, буду фиксить, добавлю дубль CZR как в машечном 4.4.1.</t>
  </si>
  <si>
    <r>
      <t xml:space="preserve">M210E-CZR Модуль контроля неадресного шлейфа, питание </t>
    </r>
    <r>
      <rPr>
        <b/>
        <sz val="10"/>
        <rFont val="Arial"/>
        <family val="2"/>
        <charset val="204"/>
      </rPr>
      <t>внешнее</t>
    </r>
  </si>
  <si>
    <r>
      <t xml:space="preserve">M210E-CZR Модуль контроля неадресного шлейфа, питание </t>
    </r>
    <r>
      <rPr>
        <b/>
        <sz val="10"/>
        <rFont val="Arial"/>
        <family val="2"/>
        <charset val="204"/>
      </rPr>
      <t>от шлейфа</t>
    </r>
  </si>
  <si>
    <t>Добавил CZR, исправил привязки проверки, все ссылки вели на проверку первого листа.</t>
  </si>
  <si>
    <t>2.5.2.</t>
  </si>
  <si>
    <t>mczr-ext</t>
  </si>
  <si>
    <t>mczr-adr</t>
  </si>
  <si>
    <t>Nshs</t>
  </si>
  <si>
    <t>Nmashs</t>
  </si>
  <si>
    <t>Модуль не добавлен в расчет шкафа</t>
  </si>
  <si>
    <t>т.1а "Модуль не добавлен в расчет шкафа"</t>
  </si>
  <si>
    <t>Количество СФ-МАШ-4 в шкафу меньше, чем порядковый номер листа</t>
  </si>
  <si>
    <t>УФ - красная заливка, шрифт авто-полужирный</t>
  </si>
  <si>
    <t>Сделал проверку МАШ-4 на установку в шкафу</t>
  </si>
  <si>
    <t>Количество модулей в шкафу</t>
  </si>
  <si>
    <t>Разница</t>
  </si>
  <si>
    <t>Ndelta</t>
  </si>
  <si>
    <t>Громкость, тон сирен /  модулей осталось в ШС</t>
  </si>
  <si>
    <t>Исправил условное форматирование в шкафу для 210 и 220</t>
  </si>
  <si>
    <t>т.1 В шкафу больше модулей чем в шлейфах</t>
  </si>
  <si>
    <t>Разница между количеством модулей в шкафу и по сумме во всех шлейфах больше нуля</t>
  </si>
  <si>
    <t>УФ - оранжевая заливка в крайнем правом столбце</t>
  </si>
  <si>
    <t>Сделал проверку модулей, теперь видно, когда в шкафу больше модулей данного типа, чем в сумме по четырем шлейфам</t>
  </si>
  <si>
    <t>2.5.3.</t>
  </si>
  <si>
    <t>Кроме того пересчитал длину клеммников, теперь есть именованые переменные, УЗЛ можно добавить куда угодно, надо прописать проверку его установки или замены на стоп, если его нет на нижнем клеммнике</t>
  </si>
  <si>
    <t>дописал в 253</t>
  </si>
  <si>
    <t>УЗЛ добавляются только парами. Возможно, потом от них можно будет отказаться</t>
  </si>
  <si>
    <t>&lt;Копия верлога из шкафного калькулятора</t>
  </si>
  <si>
    <t>/&gt;</t>
  </si>
  <si>
    <t>Продолжаем. Следующая задача - передача токов из калькуляторов МАШ</t>
  </si>
  <si>
    <t>Теперь ток потребления модуля МАШ-4 прописан в листе данных</t>
  </si>
  <si>
    <t>Модуль установлен в шкаф</t>
  </si>
  <si>
    <t>Модуль  установлен в шкаф</t>
  </si>
  <si>
    <t>Инвертировал проверку МАШ-4 на установку в шкафу, чаще этот параметр используется как 1=есть</t>
  </si>
  <si>
    <t>Таблица 6.1. СФ-АР5008 №1.</t>
  </si>
  <si>
    <t>Количество нормально замкнутых шлейфов</t>
  </si>
  <si>
    <t>Количество НЗ шлейфов с Rшунта</t>
  </si>
  <si>
    <t>Количество нормально разомкнутых шлейфов</t>
  </si>
  <si>
    <t>Количество токопотребляющих шлейфов</t>
  </si>
  <si>
    <t>Количество используемых шлейфов</t>
  </si>
  <si>
    <t>Количество двухпарных кабелей</t>
  </si>
  <si>
    <t>Ток потребления модуля, мА:</t>
  </si>
  <si>
    <t>В дежурном режиме</t>
  </si>
  <si>
    <t>В режиме активности</t>
  </si>
  <si>
    <t>Таблица 6.2. СФ-АР5008 №2.</t>
  </si>
  <si>
    <t>Таблица 6.3. СФ-АР5008 №3.</t>
  </si>
  <si>
    <t>Таблица 6.4. СФ-АР5008 №4.</t>
  </si>
  <si>
    <t>Таблица 6.5. СФ-АР5008 №5.</t>
  </si>
  <si>
    <t>Таблица 6.6. СФ-АР5008 №6.</t>
  </si>
  <si>
    <t>Таблица 6.7. СФ-АР5008 №7.</t>
  </si>
  <si>
    <t>НР</t>
  </si>
  <si>
    <t>Verlog</t>
  </si>
  <si>
    <t>Таблица 7.1. СФ-КУ4005 №1.</t>
  </si>
  <si>
    <t>Таблица 7.2. СФ-КУ4005 №2.</t>
  </si>
  <si>
    <t>Таблица 7.3. СФ-КУ4005 №3.</t>
  </si>
  <si>
    <t>Таблица 7.4. СФ-КУ4005 №4.</t>
  </si>
  <si>
    <t>Таблица 7.5. СФ-КУ4005 №5.</t>
  </si>
  <si>
    <t>Таблица 7.6. СФ-КУ4005 №6.</t>
  </si>
  <si>
    <t>Таблица 7.7. СФ-КУ4005 №7.</t>
  </si>
  <si>
    <t>Теперь МАШ-4 интегрированы в калькулятор</t>
  </si>
  <si>
    <t>Скопировал листы АР5008 и КУ4005</t>
  </si>
  <si>
    <t>2.5.4.</t>
  </si>
  <si>
    <t>Попробую причесать неадресные шлейфы</t>
  </si>
  <si>
    <t>2.0.</t>
  </si>
  <si>
    <t>Объединение АР и КУ калькуляторов в единый блок</t>
  </si>
  <si>
    <t>НЗRш</t>
  </si>
  <si>
    <t>Таблица 6.8. СФ-АР5008 №8.</t>
  </si>
  <si>
    <t>Таблица 6.9. СФ-АР5008 №9.</t>
  </si>
  <si>
    <t>Таблица 6.10. СФ-АР5008 №10.</t>
  </si>
  <si>
    <t>Sum</t>
  </si>
  <si>
    <t>use</t>
  </si>
  <si>
    <t>Осталось /</t>
  </si>
  <si>
    <t>Кол-во ш</t>
  </si>
  <si>
    <t>Кол. 2хш.</t>
  </si>
  <si>
    <t>Кол. гв</t>
  </si>
  <si>
    <t>Количество СФ-АР5008</t>
  </si>
  <si>
    <t>Количество СФ-КУ4005</t>
  </si>
  <si>
    <t>Обрыв</t>
  </si>
  <si>
    <t>Деж.р.</t>
  </si>
  <si>
    <t>Акт.р.</t>
  </si>
  <si>
    <t>+1деж.р</t>
  </si>
  <si>
    <t>+1акт.р</t>
  </si>
  <si>
    <t>Таблица 7.8. СФ-КУ4005 №8.</t>
  </si>
  <si>
    <t>Таблица 7.9. СФ-КУ4005 №9.</t>
  </si>
  <si>
    <t>Таблица 7.10. СФ-КУ4005 №10.</t>
  </si>
  <si>
    <t>кол. бзл</t>
  </si>
  <si>
    <t xml:space="preserve"> - Модуль используется в расчете</t>
  </si>
  <si>
    <t xml:space="preserve"> - Модуль не используется в расчете</t>
  </si>
  <si>
    <t xml:space="preserve"> - Много двупарных кабелей</t>
  </si>
  <si>
    <t>1. Проверяемые параметры в калькуляторах МАШ</t>
  </si>
  <si>
    <t>проверка</t>
  </si>
  <si>
    <t>2.5.5.</t>
  </si>
  <si>
    <t>Из функций осталось доделать ЦЗР</t>
  </si>
  <si>
    <t>Таблица 1.7. Остаток свободной длины DIN-реек, мм.</t>
  </si>
  <si>
    <t>Учитывать</t>
  </si>
  <si>
    <t>Лист используется</t>
  </si>
  <si>
    <t>Ошибка</t>
  </si>
  <si>
    <t>Итог</t>
  </si>
  <si>
    <t>Переделал ЦЗР и проверки, осталось доделать оформление и предупреждение о модулях не включенных в расчет</t>
  </si>
  <si>
    <t>2.5.6.</t>
  </si>
  <si>
    <t>Оформить проверки на листе шкафа, растащить данные</t>
  </si>
  <si>
    <t>Данные для шкафа</t>
  </si>
  <si>
    <t>Таблица 1. Полная и остаточная длина ДИН-реек</t>
  </si>
  <si>
    <t>Таблица 2. Параметры размещения модулей Сфера.</t>
  </si>
  <si>
    <t>Таблица 3. Параметры размещения модулей адресного шлейфа.</t>
  </si>
  <si>
    <t>Таблица 3. Выбор исполнения шкафа</t>
  </si>
  <si>
    <t>Таблица 6. Выбор выходов питания</t>
  </si>
  <si>
    <t>Таблица 7. Выбор питания M210E-CZR</t>
  </si>
  <si>
    <t>Сообщение</t>
  </si>
  <si>
    <t>Таблица 4. Выбор типа шлейфа адресных расширителей. Токи адресного расширителя</t>
  </si>
  <si>
    <t>Таблица 5. Выбор типа шлейфа контроллеров универсальных. Токи контроллера универсального</t>
  </si>
  <si>
    <t>деж. р.</t>
  </si>
  <si>
    <t>акт. р.</t>
  </si>
  <si>
    <t>NN</t>
  </si>
  <si>
    <t>Ошибка подключения System Sensor</t>
  </si>
  <si>
    <t>Ошибка размещения модулей</t>
  </si>
  <si>
    <t>Ошибка дополнительных параметров питания</t>
  </si>
  <si>
    <t>Превышение тока дежурого режима</t>
  </si>
  <si>
    <t>Превышение тока режима активности</t>
  </si>
  <si>
    <t>Превышение емкости АКБ</t>
  </si>
  <si>
    <t>Ошибка расчета гермовводов</t>
  </si>
  <si>
    <t>Ошибка расчета СФ-МАШ-4 №1</t>
  </si>
  <si>
    <t>Ошибка расчета СФ-МАШ-4 №2</t>
  </si>
  <si>
    <t>Ошибка расчета СФ-МАШ-4 №3</t>
  </si>
  <si>
    <t>Ошибка расчета СФ-МАШ-4 №4</t>
  </si>
  <si>
    <t>Ошибка расчета неадресных модулей</t>
  </si>
  <si>
    <t>Таблица 8. Ошибки выбора питания M210E-CZR</t>
  </si>
  <si>
    <t>Тест</t>
  </si>
  <si>
    <t>Модули M210E-CZR, установленные в шкафу, посчитаны как питающиеся от источника питания СФ-ШС-24</t>
  </si>
  <si>
    <t>Количество модулей M210E-CZR, питающихся от шкафа увеличено до количества установленных в СФ-ШС-24</t>
  </si>
  <si>
    <t>Количество модулей больше допустиого</t>
  </si>
  <si>
    <t>Это было под таблицей дополнительных параметров питания</t>
  </si>
  <si>
    <t>=ЕСЛИ(И(F34=ШДанные!A55;R20&gt;0);"* - Модули M210E-CZR, установленные в шкафу, посчитаны как питающиеся от источника питания СФ-ШС-24";ЕСЛИ(И($F$34=ШДанные!$A$54;$F$35&lt;$R$20;$F$35&gt;0);"* - Количество модулей M210E-CZR, питающихся от шкафа увеличено до количества установленных в СФ-ШС-24";" "))</t>
  </si>
  <si>
    <t>Таблица 9. предельные токи и емкость аккумулятора</t>
  </si>
  <si>
    <t>Таблица 11. Вывод реле "Неисправность"</t>
  </si>
  <si>
    <t>Таблица 12. Токи релейного модуля</t>
  </si>
  <si>
    <t>Таблица 13. Токи модуля с контролем цепи управления</t>
  </si>
  <si>
    <t>Таблица 14. Токи модулей адресного шлейфа</t>
  </si>
  <si>
    <t>Таблица 15. Потребление АКИП и УЗЛ</t>
  </si>
  <si>
    <t>Таблица 16. Поле детектора ошибок</t>
  </si>
  <si>
    <t>Таблица 17. Таблица ошибок</t>
  </si>
  <si>
    <t>Таблица 18. Набор длинн клеммников</t>
  </si>
  <si>
    <t>Таблица 1.8. Проверка расчета.</t>
  </si>
  <si>
    <t>Таблица 2.1. Количество устройств и аксессуаров</t>
  </si>
  <si>
    <t>Таблица 2.2. Параметры шлейфа.</t>
  </si>
  <si>
    <t>Таблица 2.3. Токи адресного шлейфа.</t>
  </si>
  <si>
    <t>Таблица 2.4. Расчет параметров аккумуляторной батареи.</t>
  </si>
  <si>
    <t>Таблица 2.5. Максимальная длина адресного шлейфа.</t>
  </si>
  <si>
    <t>Таблица 2.6. Устройства в адресном шлейфе.</t>
  </si>
  <si>
    <t>Таблица 2.7. Справочные данные.</t>
  </si>
  <si>
    <t>Таблица 3.1. Количество устройств и аксессуаров</t>
  </si>
  <si>
    <t>Таблица 3.2. Параметры шлейфа.</t>
  </si>
  <si>
    <t>Таблица 3.3. Токи адресного шлейфа.</t>
  </si>
  <si>
    <t>Таблица 3.4. Расчет параметров аккумуляторной батареи.</t>
  </si>
  <si>
    <t>Таблица 3.5. Максимальная длина адресного шлейфа.</t>
  </si>
  <si>
    <t>Таблица 3.6. Устройства в адресном шлейфе.</t>
  </si>
  <si>
    <t>Таблица 3.7. Справочные данные.</t>
  </si>
  <si>
    <t>Таблица 4.1. Количество устройств и аксессуаров</t>
  </si>
  <si>
    <t>Таблица 4.2. Параметры шлейфа.</t>
  </si>
  <si>
    <t>Таблица 4.3. Токи адресного шлейфа.</t>
  </si>
  <si>
    <t>Таблица 4.4. Расчет параметров аккумуляторной батареи.</t>
  </si>
  <si>
    <t>Таблица 4.5. Максимальная длина адресного шлейфа.</t>
  </si>
  <si>
    <t>Таблица 4.6. Устройства в адресном шлейфе.</t>
  </si>
  <si>
    <t>Таблица 4.7. Справочные данные.</t>
  </si>
  <si>
    <t>Таблица 5.1. Количество устройств и аксессуаров</t>
  </si>
  <si>
    <t>Таблица 5.2. Параметры шлейфа.</t>
  </si>
  <si>
    <t>Таблица 5.3. Токи адресного шлейфа.</t>
  </si>
  <si>
    <t>Таблица 5.4. Расчет параметров аккумуляторной батареи.</t>
  </si>
  <si>
    <t>Таблица 5.5. Максимальная длина адресного шлейфа.</t>
  </si>
  <si>
    <t>Таблица 5.6. Устройства в адресном шлейфе.</t>
  </si>
  <si>
    <t>Таблица 5.7. Справочные данные.</t>
  </si>
  <si>
    <t>2.5.7.</t>
  </si>
  <si>
    <t>Предрелизная версия</t>
  </si>
  <si>
    <t>В калькуляторе применены следующие цветовые обозначения:</t>
  </si>
  <si>
    <t xml:space="preserve"> - поле для ввода данных</t>
  </si>
  <si>
    <t xml:space="preserve"> - основные поля таблицы</t>
  </si>
  <si>
    <t xml:space="preserve"> - справка и пояснение</t>
  </si>
  <si>
    <t xml:space="preserve"> - результаты расчетов</t>
  </si>
  <si>
    <t xml:space="preserve"> - предупреждение о некорректных значениях</t>
  </si>
  <si>
    <t xml:space="preserve"> - предупреждение о превышении допустимых значений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</si>
  <si>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</si>
  <si>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</si>
  <si>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</si>
  <si>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</si>
  <si>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</si>
  <si>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</si>
  <si>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</si>
  <si>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</si>
  <si>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</si>
  <si>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</si>
  <si>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</si>
  <si>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</si>
  <si>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</si>
  <si>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</si>
  <si>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</si>
  <si>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</si>
  <si>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</si>
  <si>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</si>
  <si>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</si>
  <si>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</si>
  <si>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</si>
  <si>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</si>
  <si>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</si>
  <si>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 xml:space="preserve"> - заполненные или измененные поля</t>
  </si>
  <si>
    <t>2.6.</t>
  </si>
  <si>
    <t>Релиз. Исправил подсчет гермовводов от УЗЛ</t>
  </si>
  <si>
    <t>Исправил подсчет длины нижней ДИН-рейки</t>
  </si>
  <si>
    <t>Доработал расчет количества втулок</t>
  </si>
  <si>
    <t>Таблица 10. Количество гермовводов и втулок</t>
  </si>
  <si>
    <t>Общее количество втулок, если вдруг будем считать</t>
  </si>
  <si>
    <t>Таблица 1.6. Кабельные вводы.</t>
  </si>
  <si>
    <t>2.6.1.</t>
  </si>
  <si>
    <t>Изменил длины модулей АР, РМ, МК, КУ на 137, в соответствии с шириной модуля</t>
  </si>
  <si>
    <t>При этом, реальная ширина модуля порядка 138,3 мм, но крепления на рейку расположены в середине модуля, а выпирать он будет незначительно.</t>
  </si>
  <si>
    <t>2.6.2.</t>
  </si>
  <si>
    <t>Изменил обратно на 96 длины РМ, МК, КУ, т.к. на данный момент они выпускаются в старых корпусах. Версия идет в релиз под текущим номером.</t>
  </si>
  <si>
    <t>Поменял описание в шапке крайнего правого столбца в МАШ-4 в соответствии с функцией</t>
  </si>
  <si>
    <t>2.7.</t>
  </si>
  <si>
    <t>Удален запрет добавления модулей System Sensor без добавления СФ-МАШ-4, кроме M200XE</t>
  </si>
  <si>
    <t>Mod wout Mash</t>
  </si>
  <si>
    <t>Флаг, показывающий, что в шкафу установлены модули, но не стоит СФ-МАШ-4</t>
  </si>
  <si>
    <t>No mod and Mash</t>
  </si>
  <si>
    <t>Флаг, показывающий, что модули и СФ-МАШ-4 не установлены</t>
  </si>
  <si>
    <t>При добавлении модулей без СФ-МАШ-4 из нижней ДИН-рейки вычитается длина клеммника МАШ-4 для подключения адресного шлейфа, сделана соответствующая поправка в расчете количества модулей, которые можно установить</t>
  </si>
  <si>
    <t>Добавлены модули System Sensor без СФ-МАШ-4</t>
  </si>
  <si>
    <t>Добавлена проверка наличия модулей без СФ-МАШ-4. Выделяется желтым, если есть модули но нет СФ-МАШ-4, не учитывается в "Расчет верен"</t>
  </si>
  <si>
    <t>2.7.1.</t>
  </si>
  <si>
    <t>Шоу продолжается, теперь надо удалить M200XE</t>
  </si>
  <si>
    <t>Удалил из шкафа, Машки готовятся</t>
  </si>
  <si>
    <t>Удалил 200XE из МАШек, поставил "Скрывать формулы" на листе ШС, странно, что раньше этого небыло</t>
  </si>
  <si>
    <t>по адресу</t>
  </si>
  <si>
    <t>по току</t>
  </si>
  <si>
    <t>по икз и др.</t>
  </si>
  <si>
    <t>ограниченя 1</t>
  </si>
  <si>
    <t>ограниченя 2</t>
  </si>
  <si>
    <t>ограниченя 3</t>
  </si>
  <si>
    <t>ограниченя 4</t>
  </si>
  <si>
    <t>Референсное количество устройств на один изолятор КЗ</t>
  </si>
  <si>
    <t>Превышено количество изоляторов на устройство, референсный порог</t>
  </si>
  <si>
    <t>Превышено количество изоляторов на устройство, максимальный порог</t>
  </si>
  <si>
    <t>Запас тока шлейфа, мА</t>
  </si>
  <si>
    <t>2.7.2.</t>
  </si>
  <si>
    <t>Проведена подготовка к внедрению столбца "Возможно добавить" и другим изменениям в соответствии с КН-МАШ-4 4.5, начинаю</t>
  </si>
  <si>
    <t>Обнаружил и исправил ошибку с расчетом длины кабелей МАШ-4, до этого все листы считались по данным первого</t>
  </si>
  <si>
    <t>Возможно установить, шт.</t>
  </si>
  <si>
    <t>Начал перенос "Возможно добавить" для СФ-МАШ-4 №1</t>
  </si>
  <si>
    <t>Подготовил Мданные для переноса по остальным СФ-МАШ-4</t>
  </si>
  <si>
    <t>2.7.3.</t>
  </si>
  <si>
    <t>Перенес "Возможно добавить"</t>
  </si>
  <si>
    <t>Теперь необходимо перенести условное ворматирование</t>
  </si>
  <si>
    <t>Исправил ошибку в расчете сопротивления изоляторов КЗ, там были не те данные</t>
  </si>
  <si>
    <t>2.7.4.</t>
  </si>
  <si>
    <t>Условное форматирование по СФ-МАШ-4 приведено в соответствии с калькулятором МАШ версии 4.5.2.</t>
  </si>
  <si>
    <t>Исправил некорректное отображение возможного количества искробезопасных извещателей в калькуляторах маш №2..4</t>
  </si>
  <si>
    <t>Убрал лишнее форматирование из МАШ-4 CZR</t>
  </si>
  <si>
    <t>Поправил форматирование на листе МАШ-4 №1 для менее 5 устройств на изолятор</t>
  </si>
  <si>
    <t>01</t>
  </si>
  <si>
    <t>Изменен набор сечений кабелей в СФ-МАШ-4</t>
  </si>
  <si>
    <t>2.7а</t>
  </si>
  <si>
    <t>Релиз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</si>
</sst>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4"/>
      <name val="Arial Cyr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theme="0" tint="-4.9989318521683403E-2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0" tint="-4.9989318521683403E-2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color theme="0" tint="-0.1499984740745262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9" tint="-0.249977111117893"/>
      <name val="Arial"/>
      <family val="2"/>
      <charset val="204"/>
    </font>
    <font>
      <b/>
      <sz val="16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b/>
      <sz val="10"/>
      <name val="Arial"/>
      <family val="2"/>
      <charset val="204"/>
    </font>
    <font>
      <sz val="11"/>
      <color theme="0" tint="-0.14999847407452621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Down">
        <bgColor theme="0" tint="-4.9989318521683403E-2"/>
      </patternFill>
    </fill>
    <fill>
      <patternFill patternType="lightDown">
        <bgColor theme="0" tint="-0.14999847407452621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18" fillId="10" borderId="11">
      <alignment horizontal="center" vertical="center" wrapText="1"/>
      <protection hidden="1"/>
    </xf>
    <xf numFmtId="0" fontId="18" fillId="11" borderId="11">
      <alignment horizontal="center" vertical="center" wrapText="1"/>
      <protection hidden="1"/>
    </xf>
    <xf numFmtId="0" fontId="18" fillId="12" borderId="11">
      <alignment horizontal="center" vertical="center" wrapText="1"/>
      <protection hidden="1"/>
    </xf>
    <xf numFmtId="0" fontId="18" fillId="13" borderId="11">
      <alignment horizontal="center" vertical="center" wrapText="1"/>
      <protection hidden="1"/>
    </xf>
    <xf numFmtId="0" fontId="13" fillId="2" borderId="11">
      <alignment horizontal="center"/>
      <protection hidden="1"/>
    </xf>
    <xf numFmtId="0" fontId="5" fillId="3" borderId="6" applyNumberFormat="0" applyFont="0" applyBorder="0" applyAlignment="0">
      <protection hidden="1"/>
    </xf>
    <xf numFmtId="0" fontId="5" fillId="5" borderId="6" applyNumberFormat="0" applyFont="0" applyBorder="0" applyAlignment="0">
      <protection hidden="1"/>
    </xf>
  </cellStyleXfs>
  <cellXfs count="499">
    <xf numFmtId="0" fontId="0" fillId="0" borderId="0" xfId="0"/>
    <xf numFmtId="0" fontId="0" fillId="2" borderId="0" xfId="0" applyFill="1"/>
    <xf numFmtId="0" fontId="2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2" fillId="2" borderId="7" xfId="0" applyFont="1" applyFill="1" applyBorder="1" applyProtection="1">
      <protection hidden="1"/>
    </xf>
    <xf numFmtId="0" fontId="5" fillId="4" borderId="11" xfId="0" applyFont="1" applyFill="1" applyBorder="1" applyAlignment="1" applyProtection="1">
      <alignment horizontal="center" vertical="center" wrapText="1"/>
      <protection hidden="1"/>
    </xf>
    <xf numFmtId="0" fontId="5" fillId="4" borderId="12" xfId="0" applyFont="1" applyFill="1" applyBorder="1" applyAlignment="1" applyProtection="1">
      <alignment horizontal="center" vertical="center" wrapText="1"/>
      <protection hidden="1"/>
    </xf>
    <xf numFmtId="0" fontId="0" fillId="5" borderId="12" xfId="0" applyFill="1" applyBorder="1" applyAlignment="1" applyProtection="1">
      <alignment horizontal="center" vertical="center" wrapText="1"/>
      <protection hidden="1"/>
    </xf>
    <xf numFmtId="0" fontId="5" fillId="3" borderId="11" xfId="0" applyFont="1" applyFill="1" applyBorder="1" applyAlignment="1" applyProtection="1">
      <alignment horizontal="center"/>
      <protection hidden="1"/>
    </xf>
    <xf numFmtId="0" fontId="5" fillId="3" borderId="11" xfId="0" applyNumberFormat="1" applyFont="1" applyFill="1" applyBorder="1" applyAlignment="1" applyProtection="1">
      <alignment horizontal="center"/>
      <protection hidden="1"/>
    </xf>
    <xf numFmtId="0" fontId="5" fillId="3" borderId="6" xfId="0" applyFont="1" applyFill="1" applyBorder="1" applyAlignment="1" applyProtection="1">
      <alignment horizontal="center" vertical="center"/>
      <protection hidden="1"/>
    </xf>
    <xf numFmtId="0" fontId="5" fillId="5" borderId="11" xfId="0" applyFont="1" applyFill="1" applyBorder="1" applyAlignment="1" applyProtection="1">
      <alignment horizontal="center"/>
      <protection hidden="1"/>
    </xf>
    <xf numFmtId="0" fontId="5" fillId="5" borderId="11" xfId="0" applyNumberFormat="1" applyFont="1" applyFill="1" applyBorder="1" applyAlignment="1" applyProtection="1">
      <alignment horizontal="center"/>
      <protection hidden="1"/>
    </xf>
    <xf numFmtId="0" fontId="5" fillId="5" borderId="9" xfId="0" applyFont="1" applyFill="1" applyBorder="1" applyAlignment="1" applyProtection="1">
      <alignment horizontal="center" vertical="center"/>
      <protection hidden="1"/>
    </xf>
    <xf numFmtId="0" fontId="5" fillId="3" borderId="9" xfId="0" applyFont="1" applyFill="1" applyBorder="1" applyAlignment="1" applyProtection="1">
      <alignment horizontal="center" vertical="center"/>
      <protection hidden="1"/>
    </xf>
    <xf numFmtId="0" fontId="5" fillId="5" borderId="6" xfId="0" applyFont="1" applyFill="1" applyBorder="1" applyAlignment="1" applyProtection="1">
      <alignment horizontal="center" vertical="center"/>
      <protection hidden="1"/>
    </xf>
    <xf numFmtId="0" fontId="7" fillId="7" borderId="13" xfId="0" applyFont="1" applyFill="1" applyBorder="1" applyProtection="1">
      <protection hidden="1"/>
    </xf>
    <xf numFmtId="0" fontId="8" fillId="7" borderId="12" xfId="0" applyFont="1" applyFill="1" applyBorder="1" applyProtection="1">
      <protection hidden="1"/>
    </xf>
    <xf numFmtId="0" fontId="8" fillId="7" borderId="15" xfId="0" applyFont="1" applyFill="1" applyBorder="1" applyProtection="1">
      <protection hidden="1"/>
    </xf>
    <xf numFmtId="0" fontId="0" fillId="7" borderId="10" xfId="0" applyFill="1" applyBorder="1" applyProtection="1">
      <protection hidden="1"/>
    </xf>
    <xf numFmtId="0" fontId="7" fillId="7" borderId="2" xfId="0" applyFont="1" applyFill="1" applyBorder="1" applyProtection="1">
      <protection hidden="1"/>
    </xf>
    <xf numFmtId="0" fontId="7" fillId="7" borderId="4" xfId="0" applyFont="1" applyFill="1" applyBorder="1" applyProtection="1">
      <protection hidden="1"/>
    </xf>
    <xf numFmtId="0" fontId="0" fillId="7" borderId="5" xfId="0" applyFill="1" applyBorder="1" applyProtection="1">
      <protection hidden="1"/>
    </xf>
    <xf numFmtId="0" fontId="7" fillId="7" borderId="6" xfId="0" applyFont="1" applyFill="1" applyBorder="1" applyProtection="1">
      <protection hidden="1"/>
    </xf>
    <xf numFmtId="0" fontId="0" fillId="7" borderId="8" xfId="0" applyFill="1" applyBorder="1" applyProtection="1">
      <protection hidden="1"/>
    </xf>
    <xf numFmtId="0" fontId="0" fillId="5" borderId="11" xfId="0" applyFill="1" applyBorder="1" applyAlignment="1" applyProtection="1">
      <alignment horizontal="center" vertical="center" wrapText="1"/>
      <protection hidden="1"/>
    </xf>
    <xf numFmtId="0" fontId="7" fillId="7" borderId="13" xfId="0" applyFont="1" applyFill="1" applyBorder="1" applyAlignment="1" applyProtection="1">
      <alignment horizontal="center" vertical="center"/>
      <protection hidden="1"/>
    </xf>
    <xf numFmtId="14" fontId="0" fillId="0" borderId="0" xfId="0" applyNumberFormat="1"/>
    <xf numFmtId="0" fontId="0" fillId="0" borderId="11" xfId="0" applyBorder="1" applyAlignment="1">
      <alignment horizontal="center" vertical="center" wrapText="1"/>
    </xf>
    <xf numFmtId="0" fontId="11" fillId="6" borderId="9" xfId="0" applyFont="1" applyFill="1" applyBorder="1" applyAlignment="1" applyProtection="1">
      <protection hidden="1"/>
    </xf>
    <xf numFmtId="0" fontId="12" fillId="8" borderId="11" xfId="0" applyFont="1" applyFill="1" applyBorder="1" applyAlignment="1" applyProtection="1">
      <alignment horizontal="center" vertical="center"/>
      <protection hidden="1"/>
    </xf>
    <xf numFmtId="0" fontId="11" fillId="7" borderId="9" xfId="0" applyFont="1" applyFill="1" applyBorder="1" applyAlignment="1" applyProtection="1">
      <protection hidden="1"/>
    </xf>
    <xf numFmtId="0" fontId="12" fillId="9" borderId="11" xfId="0" applyFont="1" applyFill="1" applyBorder="1" applyAlignment="1" applyProtection="1">
      <alignment horizontal="center" vertical="center"/>
      <protection hidden="1"/>
    </xf>
    <xf numFmtId="0" fontId="9" fillId="2" borderId="0" xfId="0" applyFont="1" applyFill="1" applyProtection="1"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0" fontId="12" fillId="8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/>
      <protection locked="0" hidden="1"/>
    </xf>
    <xf numFmtId="0" fontId="5" fillId="2" borderId="11" xfId="0" applyFont="1" applyFill="1" applyBorder="1" applyAlignment="1" applyProtection="1">
      <alignment horizontal="center"/>
      <protection locked="0" hidden="1"/>
    </xf>
    <xf numFmtId="0" fontId="5" fillId="2" borderId="6" xfId="0" applyFont="1" applyFill="1" applyBorder="1" applyAlignment="1" applyProtection="1">
      <alignment horizontal="center" vertical="center"/>
      <protection locked="0" hidden="1"/>
    </xf>
    <xf numFmtId="0" fontId="5" fillId="2" borderId="9" xfId="0" applyFont="1" applyFill="1" applyBorder="1" applyAlignment="1" applyProtection="1">
      <alignment horizontal="center" vertical="center"/>
      <protection locked="0" hidden="1"/>
    </xf>
    <xf numFmtId="0" fontId="5" fillId="2" borderId="1" xfId="0" applyFont="1" applyFill="1" applyBorder="1" applyAlignment="1" applyProtection="1">
      <alignment horizontal="center" vertical="center"/>
      <protection locked="0" hidden="1"/>
    </xf>
    <xf numFmtId="0" fontId="9" fillId="2" borderId="14" xfId="0" applyFont="1" applyFill="1" applyBorder="1" applyAlignment="1" applyProtection="1">
      <alignment horizontal="center" vertical="center"/>
      <protection locked="0" hidden="1"/>
    </xf>
    <xf numFmtId="0" fontId="9" fillId="0" borderId="11" xfId="0" applyFont="1" applyBorder="1" applyAlignment="1" applyProtection="1">
      <alignment horizontal="center" vertical="center"/>
      <protection locked="0" hidden="1"/>
    </xf>
    <xf numFmtId="0" fontId="0" fillId="2" borderId="0" xfId="0" applyFill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center"/>
      <protection hidden="1"/>
    </xf>
    <xf numFmtId="16" fontId="0" fillId="0" borderId="0" xfId="0" applyNumberFormat="1"/>
    <xf numFmtId="0" fontId="0" fillId="2" borderId="0" xfId="0" applyFill="1" applyBorder="1" applyProtection="1">
      <protection hidden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/>
    <xf numFmtId="0" fontId="0" fillId="0" borderId="0" xfId="0" applyFill="1" applyProtection="1">
      <protection hidden="1"/>
    </xf>
    <xf numFmtId="0" fontId="5" fillId="0" borderId="11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protection hidden="1"/>
    </xf>
    <xf numFmtId="0" fontId="0" fillId="0" borderId="13" xfId="0" applyFill="1" applyBorder="1" applyAlignment="1" applyProtection="1">
      <protection hidden="1"/>
    </xf>
    <xf numFmtId="0" fontId="0" fillId="0" borderId="10" xfId="0" applyFill="1" applyBorder="1" applyAlignment="1" applyProtection="1">
      <protection hidden="1"/>
    </xf>
    <xf numFmtId="0" fontId="0" fillId="0" borderId="11" xfId="0" applyFill="1" applyBorder="1" applyProtection="1">
      <protection hidden="1"/>
    </xf>
    <xf numFmtId="0" fontId="0" fillId="0" borderId="11" xfId="0" applyFill="1" applyBorder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0" fillId="0" borderId="1" xfId="0" applyFill="1" applyBorder="1" applyAlignment="1" applyProtection="1">
      <alignment horizontal="center"/>
      <protection hidden="1"/>
    </xf>
    <xf numFmtId="0" fontId="0" fillId="0" borderId="6" xfId="0" applyFill="1" applyBorder="1" applyAlignment="1" applyProtection="1">
      <alignment horizontal="center"/>
      <protection hidden="1"/>
    </xf>
    <xf numFmtId="0" fontId="0" fillId="0" borderId="11" xfId="0" applyFill="1" applyBorder="1" applyAlignment="1" applyProtection="1">
      <alignment horizontal="center" vertical="center"/>
      <protection hidden="1"/>
    </xf>
    <xf numFmtId="0" fontId="0" fillId="0" borderId="9" xfId="0" applyFill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4" xfId="0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11" xfId="0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16" fontId="0" fillId="0" borderId="0" xfId="0" quotePrefix="1" applyNumberFormat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9" fillId="3" borderId="11" xfId="0" applyFont="1" applyFill="1" applyBorder="1" applyProtection="1">
      <protection hidden="1"/>
    </xf>
    <xf numFmtId="0" fontId="9" fillId="5" borderId="11" xfId="0" applyFont="1" applyFill="1" applyBorder="1" applyProtection="1">
      <protection hidden="1"/>
    </xf>
    <xf numFmtId="0" fontId="14" fillId="6" borderId="11" xfId="0" applyFont="1" applyFill="1" applyBorder="1" applyProtection="1">
      <protection hidden="1"/>
    </xf>
    <xf numFmtId="164" fontId="14" fillId="8" borderId="11" xfId="0" applyNumberFormat="1" applyFont="1" applyFill="1" applyBorder="1" applyAlignment="1" applyProtection="1">
      <alignment horizontal="center"/>
      <protection hidden="1"/>
    </xf>
    <xf numFmtId="0" fontId="14" fillId="7" borderId="11" xfId="0" applyFont="1" applyFill="1" applyBorder="1" applyProtection="1">
      <protection hidden="1"/>
    </xf>
    <xf numFmtId="164" fontId="14" fillId="9" borderId="11" xfId="0" applyNumberFormat="1" applyFont="1" applyFill="1" applyBorder="1" applyAlignment="1" applyProtection="1">
      <alignment horizontal="center"/>
      <protection hidden="1"/>
    </xf>
    <xf numFmtId="0" fontId="15" fillId="2" borderId="0" xfId="0" applyFont="1" applyFill="1" applyProtection="1">
      <protection hidden="1"/>
    </xf>
    <xf numFmtId="0" fontId="14" fillId="9" borderId="11" xfId="0" applyFont="1" applyFill="1" applyBorder="1" applyAlignment="1" applyProtection="1">
      <alignment horizontal="center"/>
      <protection hidden="1"/>
    </xf>
    <xf numFmtId="164" fontId="14" fillId="9" borderId="11" xfId="0" applyNumberFormat="1" applyFont="1" applyFill="1" applyBorder="1" applyAlignment="1" applyProtection="1">
      <alignment horizontal="center" vertical="center"/>
      <protection hidden="1"/>
    </xf>
    <xf numFmtId="2" fontId="14" fillId="8" borderId="11" xfId="0" applyNumberFormat="1" applyFont="1" applyFill="1" applyBorder="1" applyAlignment="1" applyProtection="1">
      <alignment horizontal="center" vertical="center"/>
      <protection hidden="1"/>
    </xf>
    <xf numFmtId="0" fontId="11" fillId="7" borderId="11" xfId="0" applyFont="1" applyFill="1" applyBorder="1" applyAlignment="1" applyProtection="1">
      <alignment horizontal="center"/>
      <protection hidden="1"/>
    </xf>
    <xf numFmtId="3" fontId="11" fillId="9" borderId="11" xfId="0" applyNumberFormat="1" applyFont="1" applyFill="1" applyBorder="1" applyAlignment="1" applyProtection="1">
      <alignment horizontal="center" vertical="center"/>
      <protection hidden="1"/>
    </xf>
    <xf numFmtId="0" fontId="11" fillId="6" borderId="11" xfId="0" applyFont="1" applyFill="1" applyBorder="1" applyAlignment="1" applyProtection="1">
      <alignment horizontal="center"/>
      <protection hidden="1"/>
    </xf>
    <xf numFmtId="3" fontId="11" fillId="8" borderId="11" xfId="0" applyNumberFormat="1" applyFont="1" applyFill="1" applyBorder="1" applyAlignment="1" applyProtection="1">
      <alignment horizontal="center" vertical="center"/>
      <protection hidden="1"/>
    </xf>
    <xf numFmtId="164" fontId="11" fillId="7" borderId="11" xfId="0" applyNumberFormat="1" applyFont="1" applyFill="1" applyBorder="1" applyAlignment="1" applyProtection="1">
      <alignment horizontal="center"/>
      <protection hidden="1"/>
    </xf>
    <xf numFmtId="0" fontId="11" fillId="7" borderId="11" xfId="0" applyFont="1" applyFill="1" applyBorder="1" applyProtection="1">
      <protection hidden="1"/>
    </xf>
    <xf numFmtId="0" fontId="11" fillId="9" borderId="11" xfId="0" applyFont="1" applyFill="1" applyBorder="1" applyAlignment="1" applyProtection="1">
      <alignment horizontal="center" vertical="center"/>
      <protection hidden="1"/>
    </xf>
    <xf numFmtId="0" fontId="11" fillId="6" borderId="11" xfId="0" applyFont="1" applyFill="1" applyBorder="1" applyProtection="1">
      <protection hidden="1"/>
    </xf>
    <xf numFmtId="0" fontId="11" fillId="8" borderId="11" xfId="0" applyFont="1" applyFill="1" applyBorder="1" applyAlignment="1" applyProtection="1">
      <alignment horizontal="center" vertical="center"/>
      <protection hidden="1"/>
    </xf>
    <xf numFmtId="0" fontId="11" fillId="9" borderId="11" xfId="0" applyFont="1" applyFill="1" applyBorder="1" applyAlignment="1" applyProtection="1">
      <alignment horizontal="center"/>
      <protection hidden="1"/>
    </xf>
    <xf numFmtId="0" fontId="16" fillId="2" borderId="0" xfId="0" applyFont="1" applyFill="1" applyProtection="1">
      <protection hidden="1"/>
    </xf>
    <xf numFmtId="0" fontId="11" fillId="8" borderId="1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10" borderId="11" xfId="0" applyFill="1" applyBorder="1" applyAlignment="1" applyProtection="1">
      <alignment horizontal="center" vertical="center" wrapText="1"/>
      <protection hidden="1"/>
    </xf>
    <xf numFmtId="0" fontId="0" fillId="11" borderId="11" xfId="0" applyFill="1" applyBorder="1" applyAlignment="1" applyProtection="1">
      <alignment horizontal="center" vertical="center" wrapText="1"/>
      <protection hidden="1"/>
    </xf>
    <xf numFmtId="0" fontId="0" fillId="12" borderId="11" xfId="0" applyFill="1" applyBorder="1" applyAlignment="1" applyProtection="1">
      <alignment horizontal="center" vertical="center" wrapText="1"/>
      <protection hidden="1"/>
    </xf>
    <xf numFmtId="0" fontId="0" fillId="13" borderId="11" xfId="0" applyFill="1" applyBorder="1" applyAlignment="1" applyProtection="1">
      <alignment horizontal="center" vertical="center" wrapText="1"/>
      <protection hidden="1"/>
    </xf>
    <xf numFmtId="0" fontId="18" fillId="10" borderId="11" xfId="1">
      <alignment horizontal="center" vertical="center" wrapText="1"/>
      <protection hidden="1"/>
    </xf>
    <xf numFmtId="0" fontId="18" fillId="11" borderId="11" xfId="2">
      <alignment horizontal="center" vertical="center" wrapText="1"/>
      <protection hidden="1"/>
    </xf>
    <xf numFmtId="0" fontId="18" fillId="12" borderId="11" xfId="3">
      <alignment horizontal="center" vertical="center" wrapText="1"/>
      <protection hidden="1"/>
    </xf>
    <xf numFmtId="0" fontId="18" fillId="13" borderId="11" xfId="4">
      <alignment horizontal="center" vertical="center" wrapText="1"/>
      <protection hidden="1"/>
    </xf>
    <xf numFmtId="0" fontId="18" fillId="10" borderId="11" xfId="1" applyAlignment="1">
      <alignment horizontal="left" vertical="center" wrapText="1"/>
      <protection hidden="1"/>
    </xf>
    <xf numFmtId="0" fontId="18" fillId="11" borderId="11" xfId="2" applyAlignment="1">
      <alignment horizontal="left" vertical="center" wrapText="1"/>
      <protection hidden="1"/>
    </xf>
    <xf numFmtId="0" fontId="18" fillId="12" borderId="11" xfId="3" applyAlignment="1">
      <alignment horizontal="left" vertical="center" wrapText="1"/>
      <protection hidden="1"/>
    </xf>
    <xf numFmtId="0" fontId="18" fillId="13" borderId="11" xfId="4" applyAlignment="1">
      <alignment horizontal="left" vertical="center" wrapText="1"/>
      <protection hidden="1"/>
    </xf>
    <xf numFmtId="0" fontId="0" fillId="10" borderId="11" xfId="0" applyFill="1" applyBorder="1" applyProtection="1">
      <protection hidden="1"/>
    </xf>
    <xf numFmtId="0" fontId="0" fillId="10" borderId="14" xfId="0" applyFill="1" applyBorder="1" applyProtection="1">
      <protection hidden="1"/>
    </xf>
    <xf numFmtId="0" fontId="0" fillId="13" borderId="11" xfId="0" applyFill="1" applyBorder="1" applyProtection="1">
      <protection hidden="1"/>
    </xf>
    <xf numFmtId="0" fontId="0" fillId="13" borderId="14" xfId="0" applyFill="1" applyBorder="1" applyProtection="1">
      <protection hidden="1"/>
    </xf>
    <xf numFmtId="0" fontId="0" fillId="12" borderId="11" xfId="0" applyFill="1" applyBorder="1" applyProtection="1">
      <protection hidden="1"/>
    </xf>
    <xf numFmtId="0" fontId="0" fillId="12" borderId="14" xfId="0" applyFill="1" applyBorder="1" applyProtection="1">
      <protection hidden="1"/>
    </xf>
    <xf numFmtId="0" fontId="0" fillId="11" borderId="11" xfId="0" applyFill="1" applyBorder="1" applyProtection="1">
      <protection hidden="1"/>
    </xf>
    <xf numFmtId="0" fontId="0" fillId="11" borderId="14" xfId="0" applyFill="1" applyBorder="1" applyProtection="1">
      <protection hidden="1"/>
    </xf>
    <xf numFmtId="0" fontId="19" fillId="12" borderId="11" xfId="3" applyFont="1">
      <alignment horizontal="center" vertical="center" wrapText="1"/>
      <protection hidden="1"/>
    </xf>
    <xf numFmtId="0" fontId="0" fillId="11" borderId="11" xfId="0" applyFill="1" applyBorder="1"/>
    <xf numFmtId="0" fontId="0" fillId="12" borderId="11" xfId="0" applyFill="1" applyBorder="1"/>
    <xf numFmtId="0" fontId="0" fillId="13" borderId="11" xfId="0" applyFill="1" applyBorder="1"/>
    <xf numFmtId="0" fontId="0" fillId="0" borderId="0" xfId="0" applyFill="1" applyBorder="1" applyAlignment="1" applyProtection="1">
      <alignment horizontal="center"/>
      <protection hidden="1"/>
    </xf>
    <xf numFmtId="0" fontId="7" fillId="0" borderId="9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7" fillId="0" borderId="0" xfId="0" applyFont="1" applyFill="1" applyProtection="1">
      <protection hidden="1"/>
    </xf>
    <xf numFmtId="0" fontId="7" fillId="0" borderId="10" xfId="0" applyFont="1" applyFill="1" applyBorder="1" applyAlignment="1" applyProtection="1">
      <protection hidden="1"/>
    </xf>
    <xf numFmtId="0" fontId="7" fillId="0" borderId="11" xfId="0" applyFont="1" applyFill="1" applyBorder="1" applyAlignment="1" applyProtection="1">
      <alignment horizontal="center"/>
      <protection hidden="1"/>
    </xf>
    <xf numFmtId="0" fontId="7" fillId="0" borderId="0" xfId="0" applyFont="1" applyFill="1"/>
    <xf numFmtId="0" fontId="0" fillId="0" borderId="13" xfId="0" applyFill="1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0" xfId="0" applyFill="1" applyAlignment="1" applyProtection="1">
      <protection hidden="1"/>
    </xf>
    <xf numFmtId="0" fontId="0" fillId="0" borderId="11" xfId="0" applyFill="1" applyBorder="1" applyAlignment="1" applyProtection="1">
      <protection hidden="1"/>
    </xf>
    <xf numFmtId="0" fontId="9" fillId="2" borderId="5" xfId="0" applyFont="1" applyFill="1" applyBorder="1" applyAlignment="1" applyProtection="1">
      <alignment horizontal="center" vertical="center"/>
      <protection locked="0" hidden="1"/>
    </xf>
    <xf numFmtId="0" fontId="5" fillId="3" borderId="11" xfId="0" applyFont="1" applyFill="1" applyBorder="1" applyAlignment="1" applyProtection="1">
      <alignment horizontal="center" vertical="center"/>
      <protection hidden="1"/>
    </xf>
    <xf numFmtId="0" fontId="5" fillId="5" borderId="11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/>
    <xf numFmtId="0" fontId="21" fillId="2" borderId="0" xfId="0" applyFont="1" applyFill="1" applyAlignment="1"/>
    <xf numFmtId="0" fontId="22" fillId="2" borderId="11" xfId="0" applyFont="1" applyFill="1" applyBorder="1" applyProtection="1">
      <protection locked="0" hidden="1"/>
    </xf>
    <xf numFmtId="0" fontId="0" fillId="2" borderId="0" xfId="0" applyFill="1" applyBorder="1"/>
    <xf numFmtId="0" fontId="11" fillId="9" borderId="18" xfId="0" applyFont="1" applyFill="1" applyBorder="1" applyAlignment="1">
      <alignment horizontal="center" vertical="center"/>
    </xf>
    <xf numFmtId="0" fontId="11" fillId="2" borderId="50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Border="1"/>
    <xf numFmtId="0" fontId="20" fillId="2" borderId="0" xfId="0" applyFont="1" applyFill="1"/>
    <xf numFmtId="0" fontId="7" fillId="2" borderId="0" xfId="0" applyFont="1" applyFill="1"/>
    <xf numFmtId="0" fontId="7" fillId="0" borderId="0" xfId="0" applyFont="1"/>
    <xf numFmtId="16" fontId="7" fillId="0" borderId="0" xfId="0" quotePrefix="1" applyNumberFormat="1" applyFont="1"/>
    <xf numFmtId="14" fontId="0" fillId="0" borderId="0" xfId="0" quotePrefix="1" applyNumberFormat="1"/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8" fillId="7" borderId="14" xfId="0" applyFont="1" applyFill="1" applyBorder="1" applyProtection="1">
      <protection hidden="1"/>
    </xf>
    <xf numFmtId="0" fontId="0" fillId="0" borderId="13" xfId="0" applyBorder="1"/>
    <xf numFmtId="0" fontId="0" fillId="0" borderId="10" xfId="0" applyBorder="1"/>
    <xf numFmtId="0" fontId="5" fillId="3" borderId="11" xfId="6" applyFont="1" applyBorder="1" applyAlignment="1">
      <alignment horizontal="center"/>
      <protection hidden="1"/>
    </xf>
    <xf numFmtId="0" fontId="5" fillId="3" borderId="11" xfId="6" applyNumberFormat="1" applyFont="1" applyBorder="1" applyAlignment="1">
      <alignment horizontal="center"/>
      <protection hidden="1"/>
    </xf>
    <xf numFmtId="0" fontId="5" fillId="3" borderId="6" xfId="6" applyFont="1" applyBorder="1" applyAlignment="1">
      <alignment horizontal="center" vertical="center"/>
      <protection hidden="1"/>
    </xf>
    <xf numFmtId="0" fontId="5" fillId="5" borderId="11" xfId="7" applyFont="1" applyBorder="1" applyAlignment="1">
      <alignment horizontal="center"/>
      <protection hidden="1"/>
    </xf>
    <xf numFmtId="0" fontId="5" fillId="5" borderId="11" xfId="7" applyNumberFormat="1" applyFont="1" applyBorder="1" applyAlignment="1">
      <alignment horizontal="center"/>
      <protection hidden="1"/>
    </xf>
    <xf numFmtId="0" fontId="5" fillId="5" borderId="9" xfId="7" applyFont="1" applyBorder="1" applyAlignment="1">
      <alignment horizontal="center" vertical="center"/>
      <protection hidden="1"/>
    </xf>
    <xf numFmtId="0" fontId="5" fillId="5" borderId="11" xfId="7" applyFont="1" applyBorder="1" applyAlignment="1">
      <alignment horizontal="center" vertical="center"/>
      <protection hidden="1"/>
    </xf>
    <xf numFmtId="0" fontId="8" fillId="7" borderId="15" xfId="6" applyFont="1" applyFill="1" applyBorder="1">
      <protection hidden="1"/>
    </xf>
    <xf numFmtId="0" fontId="5" fillId="3" borderId="11" xfId="6" applyFont="1" applyBorder="1" applyAlignment="1">
      <alignment horizontal="center" vertical="center"/>
      <protection hidden="1"/>
    </xf>
    <xf numFmtId="0" fontId="0" fillId="11" borderId="11" xfId="2" applyFont="1" applyAlignment="1">
      <alignment horizontal="left" vertical="center" wrapText="1"/>
      <protection hidden="1"/>
    </xf>
    <xf numFmtId="0" fontId="0" fillId="12" borderId="11" xfId="3" applyFont="1" applyAlignment="1">
      <alignment horizontal="left" vertical="center" wrapText="1"/>
      <protection hidden="1"/>
    </xf>
    <xf numFmtId="0" fontId="0" fillId="13" borderId="11" xfId="4" applyFont="1" applyAlignment="1">
      <alignment horizontal="left" vertical="center" wrapText="1"/>
      <protection hidden="1"/>
    </xf>
    <xf numFmtId="0" fontId="23" fillId="2" borderId="0" xfId="0" applyFont="1" applyFill="1" applyBorder="1"/>
    <xf numFmtId="0" fontId="0" fillId="3" borderId="11" xfId="0" applyFill="1" applyBorder="1"/>
    <xf numFmtId="0" fontId="0" fillId="2" borderId="11" xfId="0" applyFill="1" applyBorder="1" applyAlignment="1" applyProtection="1">
      <alignment horizontal="center" vertical="center"/>
      <protection locked="0"/>
    </xf>
    <xf numFmtId="0" fontId="0" fillId="5" borderId="11" xfId="0" applyFill="1" applyBorder="1"/>
    <xf numFmtId="0" fontId="0" fillId="5" borderId="11" xfId="0" applyFill="1" applyBorder="1" applyAlignment="1">
      <alignment horizontal="center" vertical="center"/>
    </xf>
    <xf numFmtId="0" fontId="0" fillId="3" borderId="9" xfId="0" applyFill="1" applyBorder="1"/>
    <xf numFmtId="0" fontId="0" fillId="2" borderId="11" xfId="0" applyFill="1" applyBorder="1" applyAlignment="1" applyProtection="1">
      <alignment horizontal="center" vertical="center"/>
      <protection locked="0" hidden="1"/>
    </xf>
    <xf numFmtId="0" fontId="7" fillId="5" borderId="11" xfId="0" applyFont="1" applyFill="1" applyBorder="1"/>
    <xf numFmtId="0" fontId="0" fillId="2" borderId="10" xfId="0" applyFill="1" applyBorder="1" applyAlignment="1" applyProtection="1">
      <alignment horizontal="center" vertical="center"/>
      <protection locked="0" hidden="1"/>
    </xf>
    <xf numFmtId="0" fontId="0" fillId="6" borderId="9" xfId="0" applyFill="1" applyBorder="1" applyAlignment="1"/>
    <xf numFmtId="0" fontId="0" fillId="6" borderId="10" xfId="0" applyFill="1" applyBorder="1" applyAlignment="1"/>
    <xf numFmtId="0" fontId="0" fillId="9" borderId="11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10" xfId="0" applyFill="1" applyBorder="1" applyAlignment="1" applyProtection="1">
      <alignment horizontal="center" vertical="center"/>
      <protection locked="0"/>
    </xf>
    <xf numFmtId="1" fontId="0" fillId="9" borderId="11" xfId="0" applyNumberFormat="1" applyFill="1" applyBorder="1" applyAlignment="1">
      <alignment horizontal="center" vertical="center"/>
    </xf>
    <xf numFmtId="1" fontId="0" fillId="8" borderId="11" xfId="0" applyNumberFormat="1" applyFill="1" applyBorder="1" applyAlignment="1">
      <alignment horizontal="center" vertical="center"/>
    </xf>
    <xf numFmtId="0" fontId="0" fillId="18" borderId="11" xfId="0" applyFill="1" applyBorder="1"/>
    <xf numFmtId="0" fontId="1" fillId="18" borderId="11" xfId="0" applyFont="1" applyFill="1" applyBorder="1"/>
    <xf numFmtId="0" fontId="5" fillId="7" borderId="12" xfId="6" applyFont="1" applyFill="1" applyBorder="1" applyAlignment="1">
      <alignment horizontal="center" vertical="center"/>
      <protection hidden="1"/>
    </xf>
    <xf numFmtId="0" fontId="3" fillId="2" borderId="0" xfId="0" applyFont="1" applyFill="1" applyBorder="1" applyAlignment="1" applyProtection="1">
      <protection hidden="1"/>
    </xf>
    <xf numFmtId="0" fontId="7" fillId="0" borderId="0" xfId="0" applyFont="1" applyFill="1" applyBorder="1"/>
    <xf numFmtId="0" fontId="0" fillId="0" borderId="0" xfId="0" applyFill="1" applyBorder="1"/>
    <xf numFmtId="0" fontId="0" fillId="0" borderId="11" xfId="0" applyFill="1" applyBorder="1"/>
    <xf numFmtId="0" fontId="0" fillId="0" borderId="11" xfId="0" quotePrefix="1" applyFill="1" applyBorder="1"/>
    <xf numFmtId="0" fontId="7" fillId="0" borderId="11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12" xfId="0" applyFont="1" applyFill="1" applyBorder="1"/>
    <xf numFmtId="0" fontId="7" fillId="0" borderId="15" xfId="0" applyFont="1" applyFill="1" applyBorder="1"/>
    <xf numFmtId="0" fontId="7" fillId="0" borderId="14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0" fillId="0" borderId="12" xfId="0" applyFill="1" applyBorder="1"/>
    <xf numFmtId="0" fontId="0" fillId="0" borderId="14" xfId="0" applyFill="1" applyBorder="1"/>
    <xf numFmtId="0" fontId="12" fillId="0" borderId="0" xfId="0" applyFont="1" applyFill="1"/>
    <xf numFmtId="0" fontId="12" fillId="0" borderId="11" xfId="0" applyFont="1" applyFill="1" applyBorder="1"/>
    <xf numFmtId="0" fontId="12" fillId="0" borderId="9" xfId="0" applyFont="1" applyFill="1" applyBorder="1"/>
    <xf numFmtId="0" fontId="12" fillId="0" borderId="12" xfId="0" applyFont="1" applyFill="1" applyBorder="1"/>
    <xf numFmtId="0" fontId="12" fillId="0" borderId="13" xfId="0" applyFont="1" applyFill="1" applyBorder="1"/>
    <xf numFmtId="0" fontId="7" fillId="0" borderId="13" xfId="0" applyFont="1" applyFill="1" applyBorder="1"/>
    <xf numFmtId="0" fontId="12" fillId="0" borderId="2" xfId="0" applyFont="1" applyFill="1" applyBorder="1"/>
    <xf numFmtId="0" fontId="12" fillId="0" borderId="15" xfId="0" applyFont="1" applyFill="1" applyBorder="1"/>
    <xf numFmtId="0" fontId="7" fillId="0" borderId="9" xfId="0" applyFont="1" applyFill="1" applyBorder="1"/>
    <xf numFmtId="0" fontId="7" fillId="0" borderId="10" xfId="0" applyFont="1" applyFill="1" applyBorder="1"/>
    <xf numFmtId="0" fontId="12" fillId="0" borderId="3" xfId="0" applyFont="1" applyFill="1" applyBorder="1"/>
    <xf numFmtId="0" fontId="12" fillId="0" borderId="10" xfId="0" applyFont="1" applyFill="1" applyBorder="1"/>
    <xf numFmtId="0" fontId="12" fillId="0" borderId="8" xfId="0" applyFont="1" applyFill="1" applyBorder="1"/>
    <xf numFmtId="0" fontId="12" fillId="0" borderId="0" xfId="0" applyFont="1" applyFill="1" applyBorder="1"/>
    <xf numFmtId="0" fontId="12" fillId="0" borderId="5" xfId="0" applyFont="1" applyFill="1" applyBorder="1"/>
    <xf numFmtId="0" fontId="12" fillId="0" borderId="6" xfId="0" applyFont="1" applyFill="1" applyBorder="1"/>
    <xf numFmtId="0" fontId="12" fillId="0" borderId="7" xfId="0" applyFont="1" applyFill="1" applyBorder="1"/>
    <xf numFmtId="0" fontId="12" fillId="0" borderId="9" xfId="0" applyFont="1" applyFill="1" applyBorder="1" applyAlignment="1"/>
    <xf numFmtId="0" fontId="12" fillId="0" borderId="14" xfId="0" quotePrefix="1" applyFont="1" applyFill="1" applyBorder="1" applyAlignment="1"/>
    <xf numFmtId="0" fontId="12" fillId="0" borderId="0" xfId="0" quotePrefix="1" applyFont="1" applyFill="1" applyBorder="1" applyAlignment="1"/>
    <xf numFmtId="0" fontId="7" fillId="0" borderId="5" xfId="0" applyFont="1" applyFill="1" applyBorder="1"/>
    <xf numFmtId="0" fontId="7" fillId="0" borderId="0" xfId="0" quotePrefix="1" applyFont="1" applyFill="1" applyBorder="1"/>
    <xf numFmtId="0" fontId="4" fillId="0" borderId="0" xfId="0" applyFont="1" applyFill="1"/>
    <xf numFmtId="0" fontId="12" fillId="0" borderId="15" xfId="0" quotePrefix="1" applyFont="1" applyFill="1" applyBorder="1" applyAlignment="1"/>
    <xf numFmtId="0" fontId="12" fillId="0" borderId="0" xfId="0" applyFont="1" applyFill="1" applyBorder="1" applyAlignment="1"/>
    <xf numFmtId="0" fontId="0" fillId="0" borderId="0" xfId="0" applyBorder="1"/>
    <xf numFmtId="0" fontId="12" fillId="0" borderId="12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0" fillId="0" borderId="4" xfId="0" applyFill="1" applyBorder="1"/>
    <xf numFmtId="0" fontId="0" fillId="0" borderId="10" xfId="0" applyFill="1" applyBorder="1"/>
    <xf numFmtId="0" fontId="1" fillId="0" borderId="0" xfId="0" applyFont="1" applyFill="1" applyBorder="1"/>
    <xf numFmtId="0" fontId="0" fillId="0" borderId="0" xfId="0" applyFill="1" applyBorder="1" applyAlignment="1">
      <alignment horizontal="left" vertical="center"/>
    </xf>
    <xf numFmtId="0" fontId="12" fillId="0" borderId="11" xfId="0" applyFont="1" applyFill="1" applyBorder="1" applyAlignment="1"/>
    <xf numFmtId="0" fontId="12" fillId="0" borderId="11" xfId="0" quotePrefix="1" applyFont="1" applyFill="1" applyBorder="1" applyAlignment="1"/>
    <xf numFmtId="0" fontId="0" fillId="0" borderId="6" xfId="0" applyBorder="1"/>
    <xf numFmtId="0" fontId="0" fillId="0" borderId="9" xfId="0" applyBorder="1"/>
    <xf numFmtId="0" fontId="11" fillId="2" borderId="18" xfId="0" applyFont="1" applyFill="1" applyBorder="1" applyAlignment="1" applyProtection="1">
      <alignment horizontal="center" vertical="center"/>
      <protection locked="0" hidden="1"/>
    </xf>
    <xf numFmtId="0" fontId="11" fillId="2" borderId="60" xfId="0" applyFont="1" applyFill="1" applyBorder="1" applyAlignment="1" applyProtection="1">
      <alignment horizontal="center"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0" fontId="11" fillId="2" borderId="6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 vertical="center"/>
      <protection hidden="1"/>
    </xf>
    <xf numFmtId="0" fontId="12" fillId="2" borderId="0" xfId="0" applyFont="1" applyFill="1" applyBorder="1" applyAlignment="1" applyProtection="1">
      <alignment horizontal="center" vertical="center" wrapText="1"/>
      <protection hidden="1"/>
    </xf>
    <xf numFmtId="0" fontId="12" fillId="5" borderId="28" xfId="0" applyFont="1" applyFill="1" applyBorder="1" applyAlignment="1" applyProtection="1">
      <alignment horizontal="center" vertical="center" wrapText="1"/>
      <protection hidden="1"/>
    </xf>
    <xf numFmtId="0" fontId="11" fillId="2" borderId="0" xfId="0" applyFont="1" applyFill="1" applyProtection="1">
      <protection hidden="1"/>
    </xf>
    <xf numFmtId="0" fontId="23" fillId="2" borderId="0" xfId="0" applyFont="1" applyFill="1" applyProtection="1">
      <protection hidden="1"/>
    </xf>
    <xf numFmtId="0" fontId="11" fillId="2" borderId="16" xfId="0" applyFont="1" applyFill="1" applyBorder="1" applyAlignment="1" applyProtection="1">
      <alignment horizontal="center" vertical="center" wrapText="1"/>
      <protection hidden="1"/>
    </xf>
    <xf numFmtId="0" fontId="11" fillId="7" borderId="23" xfId="0" applyFont="1" applyFill="1" applyBorder="1" applyAlignment="1" applyProtection="1">
      <alignment horizontal="center" vertical="center" wrapText="1"/>
      <protection hidden="1"/>
    </xf>
    <xf numFmtId="0" fontId="11" fillId="7" borderId="24" xfId="0" applyFont="1" applyFill="1" applyBorder="1" applyAlignment="1" applyProtection="1">
      <alignment horizontal="center" vertical="center" wrapText="1"/>
      <protection hidden="1"/>
    </xf>
    <xf numFmtId="0" fontId="11" fillId="7" borderId="7" xfId="0" applyFont="1" applyFill="1" applyBorder="1" applyAlignment="1" applyProtection="1">
      <alignment horizontal="center" vertical="center" wrapText="1"/>
      <protection hidden="1"/>
    </xf>
    <xf numFmtId="0" fontId="11" fillId="7" borderId="25" xfId="0" applyFont="1" applyFill="1" applyBorder="1" applyAlignment="1" applyProtection="1">
      <alignment horizontal="center" vertical="center" wrapText="1"/>
      <protection hidden="1"/>
    </xf>
    <xf numFmtId="0" fontId="11" fillId="3" borderId="26" xfId="0" applyFont="1" applyFill="1" applyBorder="1" applyAlignment="1" applyProtection="1">
      <alignment horizontal="center" vertical="center" wrapText="1"/>
      <protection hidden="1"/>
    </xf>
    <xf numFmtId="0" fontId="11" fillId="2" borderId="27" xfId="0" applyFont="1" applyFill="1" applyBorder="1" applyAlignment="1" applyProtection="1">
      <alignment horizontal="center" vertical="center" wrapText="1"/>
      <protection locked="0" hidden="1"/>
    </xf>
    <xf numFmtId="0" fontId="11" fillId="3" borderId="13" xfId="0" applyFont="1" applyFill="1" applyBorder="1" applyAlignment="1" applyProtection="1">
      <alignment horizontal="center" vertical="center" wrapText="1"/>
      <protection hidden="1"/>
    </xf>
    <xf numFmtId="0" fontId="11" fillId="3" borderId="28" xfId="0" applyFont="1" applyFill="1" applyBorder="1" applyAlignment="1" applyProtection="1">
      <alignment horizontal="center" vertical="center" wrapText="1"/>
      <protection hidden="1"/>
    </xf>
    <xf numFmtId="0" fontId="12" fillId="5" borderId="26" xfId="0" applyFont="1" applyFill="1" applyBorder="1" applyAlignment="1" applyProtection="1">
      <alignment horizontal="center" vertical="center" wrapText="1"/>
      <protection hidden="1"/>
    </xf>
    <xf numFmtId="0" fontId="12" fillId="2" borderId="27" xfId="0" applyFont="1" applyFill="1" applyBorder="1" applyAlignment="1" applyProtection="1">
      <alignment horizontal="center" vertical="center" wrapText="1"/>
      <protection locked="0" hidden="1"/>
    </xf>
    <xf numFmtId="0" fontId="12" fillId="5" borderId="13" xfId="0" applyFont="1" applyFill="1" applyBorder="1" applyAlignment="1" applyProtection="1">
      <alignment horizontal="center" vertical="center" wrapText="1"/>
      <protection hidden="1"/>
    </xf>
    <xf numFmtId="0" fontId="11" fillId="14" borderId="29" xfId="0" applyFont="1" applyFill="1" applyBorder="1" applyAlignment="1" applyProtection="1">
      <alignment horizontal="center" vertical="center" wrapText="1"/>
      <protection hidden="1"/>
    </xf>
    <xf numFmtId="0" fontId="11" fillId="2" borderId="30" xfId="0" applyFont="1" applyFill="1" applyBorder="1" applyAlignment="1" applyProtection="1">
      <alignment horizontal="center" vertical="center" wrapText="1"/>
      <protection locked="0" hidden="1"/>
    </xf>
    <xf numFmtId="0" fontId="11" fillId="14" borderId="31" xfId="0" applyFont="1" applyFill="1" applyBorder="1" applyAlignment="1" applyProtection="1">
      <alignment horizontal="center" vertical="center" wrapText="1"/>
      <protection hidden="1"/>
    </xf>
    <xf numFmtId="0" fontId="11" fillId="14" borderId="32" xfId="0" applyFont="1" applyFill="1" applyBorder="1" applyAlignment="1" applyProtection="1">
      <alignment horizontal="center" vertical="center" wrapText="1"/>
      <protection hidden="1"/>
    </xf>
    <xf numFmtId="0" fontId="11" fillId="7" borderId="33" xfId="0" applyFont="1" applyFill="1" applyBorder="1" applyAlignment="1" applyProtection="1">
      <alignment horizontal="center" vertical="center" wrapText="1"/>
      <protection hidden="1"/>
    </xf>
    <xf numFmtId="0" fontId="11" fillId="7" borderId="34" xfId="0" applyFont="1" applyFill="1" applyBorder="1" applyAlignment="1" applyProtection="1">
      <alignment horizontal="center" vertical="center" wrapText="1"/>
      <protection hidden="1"/>
    </xf>
    <xf numFmtId="0" fontId="11" fillId="7" borderId="35" xfId="0" applyFont="1" applyFill="1" applyBorder="1" applyAlignment="1" applyProtection="1">
      <alignment horizontal="center" vertical="center" wrapText="1"/>
      <protection hidden="1"/>
    </xf>
    <xf numFmtId="0" fontId="11" fillId="7" borderId="16" xfId="0" applyFont="1" applyFill="1" applyBorder="1" applyAlignment="1" applyProtection="1">
      <alignment horizontal="center" vertical="center" wrapText="1"/>
      <protection hidden="1"/>
    </xf>
    <xf numFmtId="0" fontId="11" fillId="3" borderId="36" xfId="0" applyFont="1" applyFill="1" applyBorder="1" applyAlignment="1" applyProtection="1">
      <alignment horizontal="left" wrapText="1"/>
      <protection hidden="1"/>
    </xf>
    <xf numFmtId="0" fontId="11" fillId="2" borderId="0" xfId="0" applyFont="1" applyFill="1" applyBorder="1" applyAlignment="1" applyProtection="1">
      <alignment horizontal="center"/>
      <protection hidden="1"/>
    </xf>
    <xf numFmtId="0" fontId="11" fillId="2" borderId="0" xfId="0" applyFont="1" applyFill="1" applyBorder="1" applyProtection="1">
      <protection hidden="1"/>
    </xf>
    <xf numFmtId="0" fontId="23" fillId="2" borderId="0" xfId="0" applyFont="1" applyFill="1" applyBorder="1" applyAlignment="1" applyProtection="1">
      <alignment horizontal="left"/>
      <protection hidden="1"/>
    </xf>
    <xf numFmtId="0" fontId="11" fillId="2" borderId="16" xfId="0" applyFont="1" applyFill="1" applyBorder="1" applyAlignment="1" applyProtection="1">
      <alignment horizontal="center"/>
      <protection hidden="1"/>
    </xf>
    <xf numFmtId="0" fontId="11" fillId="2" borderId="27" xfId="0" applyFont="1" applyFill="1" applyBorder="1" applyAlignment="1" applyProtection="1">
      <alignment horizontal="center" vertical="center"/>
      <protection locked="0" hidden="1"/>
    </xf>
    <xf numFmtId="0" fontId="11" fillId="3" borderId="13" xfId="0" applyFont="1" applyFill="1" applyBorder="1" applyAlignment="1" applyProtection="1">
      <alignment horizontal="center" vertical="center"/>
      <protection hidden="1"/>
    </xf>
    <xf numFmtId="0" fontId="11" fillId="5" borderId="13" xfId="0" applyFont="1" applyFill="1" applyBorder="1" applyAlignment="1" applyProtection="1">
      <alignment horizontal="center" vertical="center"/>
      <protection hidden="1"/>
    </xf>
    <xf numFmtId="0" fontId="0" fillId="2" borderId="9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11" fillId="2" borderId="40" xfId="0" applyFont="1" applyFill="1" applyBorder="1" applyAlignment="1" applyProtection="1">
      <alignment horizontal="center" vertical="center"/>
      <protection locked="0" hidden="1"/>
    </xf>
    <xf numFmtId="0" fontId="11" fillId="14" borderId="2" xfId="0" applyFont="1" applyFill="1" applyBorder="1" applyAlignment="1" applyProtection="1">
      <alignment horizontal="center" vertical="center"/>
      <protection hidden="1"/>
    </xf>
    <xf numFmtId="0" fontId="11" fillId="14" borderId="41" xfId="0" applyFont="1" applyFill="1" applyBorder="1" applyAlignment="1" applyProtection="1">
      <alignment horizontal="center" vertical="center" wrapText="1"/>
      <protection hidden="1"/>
    </xf>
    <xf numFmtId="0" fontId="0" fillId="5" borderId="9" xfId="0" applyFill="1" applyBorder="1" applyProtection="1">
      <protection hidden="1"/>
    </xf>
    <xf numFmtId="0" fontId="0" fillId="3" borderId="10" xfId="0" applyFill="1" applyBorder="1" applyProtection="1">
      <protection hidden="1"/>
    </xf>
    <xf numFmtId="0" fontId="11" fillId="7" borderId="42" xfId="0" applyFont="1" applyFill="1" applyBorder="1" applyAlignment="1" applyProtection="1">
      <alignment horizontal="center" vertical="center" wrapText="1"/>
      <protection hidden="1"/>
    </xf>
    <xf numFmtId="0" fontId="11" fillId="7" borderId="43" xfId="0" applyFont="1" applyFill="1" applyBorder="1" applyAlignment="1" applyProtection="1">
      <alignment horizontal="center" vertical="center"/>
      <protection hidden="1"/>
    </xf>
    <xf numFmtId="0" fontId="11" fillId="7" borderId="44" xfId="0" applyFont="1" applyFill="1" applyBorder="1" applyAlignment="1" applyProtection="1">
      <alignment horizontal="center" vertical="center" wrapText="1"/>
      <protection hidden="1"/>
    </xf>
    <xf numFmtId="0" fontId="0" fillId="6" borderId="9" xfId="0" applyFill="1" applyBorder="1" applyProtection="1">
      <protection hidden="1"/>
    </xf>
    <xf numFmtId="0" fontId="0" fillId="9" borderId="9" xfId="0" applyFill="1" applyBorder="1" applyProtection="1">
      <protection hidden="1"/>
    </xf>
    <xf numFmtId="0" fontId="0" fillId="8" borderId="10" xfId="0" applyFill="1" applyBorder="1" applyProtection="1">
      <protection hidden="1"/>
    </xf>
    <xf numFmtId="0" fontId="0" fillId="13" borderId="9" xfId="0" applyFill="1" applyBorder="1" applyProtection="1">
      <protection hidden="1"/>
    </xf>
    <xf numFmtId="0" fontId="0" fillId="13" borderId="10" xfId="0" applyFill="1" applyBorder="1" applyProtection="1">
      <protection hidden="1"/>
    </xf>
    <xf numFmtId="0" fontId="11" fillId="7" borderId="45" xfId="0" applyFont="1" applyFill="1" applyBorder="1" applyAlignment="1" applyProtection="1">
      <alignment horizontal="left" wrapText="1"/>
      <protection hidden="1"/>
    </xf>
    <xf numFmtId="0" fontId="0" fillId="12" borderId="9" xfId="0" applyFill="1" applyBorder="1" applyProtection="1">
      <protection hidden="1"/>
    </xf>
    <xf numFmtId="0" fontId="0" fillId="12" borderId="10" xfId="0" applyFill="1" applyBorder="1" applyProtection="1">
      <protection hidden="1"/>
    </xf>
    <xf numFmtId="0" fontId="11" fillId="6" borderId="26" xfId="0" applyFont="1" applyFill="1" applyBorder="1" applyAlignment="1" applyProtection="1">
      <alignment horizontal="left" vertical="center" wrapText="1"/>
      <protection hidden="1"/>
    </xf>
    <xf numFmtId="0" fontId="0" fillId="11" borderId="9" xfId="0" applyFill="1" applyBorder="1" applyProtection="1">
      <protection hidden="1"/>
    </xf>
    <xf numFmtId="0" fontId="0" fillId="11" borderId="10" xfId="0" applyFill="1" applyBorder="1" applyProtection="1">
      <protection hidden="1"/>
    </xf>
    <xf numFmtId="0" fontId="11" fillId="7" borderId="26" xfId="0" applyFont="1" applyFill="1" applyBorder="1" applyAlignment="1" applyProtection="1">
      <alignment horizontal="left" vertical="center" wrapText="1"/>
      <protection hidden="1"/>
    </xf>
    <xf numFmtId="0" fontId="11" fillId="7" borderId="27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28" xfId="0" applyFont="1" applyFill="1" applyBorder="1" applyAlignment="1" applyProtection="1">
      <alignment horizontal="center" vertical="center" wrapText="1"/>
      <protection hidden="1"/>
    </xf>
    <xf numFmtId="0" fontId="11" fillId="3" borderId="26" xfId="0" applyFont="1" applyFill="1" applyBorder="1" applyAlignment="1" applyProtection="1">
      <alignment horizontal="left" vertical="center" wrapText="1"/>
      <protection hidden="1"/>
    </xf>
    <xf numFmtId="1" fontId="11" fillId="3" borderId="27" xfId="0" applyNumberFormat="1" applyFont="1" applyFill="1" applyBorder="1" applyAlignment="1" applyProtection="1">
      <alignment horizontal="center" vertical="center" wrapText="1"/>
      <protection hidden="1"/>
    </xf>
    <xf numFmtId="1" fontId="11" fillId="3" borderId="28" xfId="0" applyNumberFormat="1" applyFont="1" applyFill="1" applyBorder="1" applyAlignment="1" applyProtection="1">
      <alignment horizontal="center" vertical="center" wrapText="1"/>
      <protection hidden="1"/>
    </xf>
    <xf numFmtId="1" fontId="12" fillId="3" borderId="27" xfId="0" applyNumberFormat="1" applyFont="1" applyFill="1" applyBorder="1" applyAlignment="1" applyProtection="1">
      <alignment horizontal="center" vertical="center" wrapText="1"/>
      <protection hidden="1"/>
    </xf>
    <xf numFmtId="1" fontId="12" fillId="3" borderId="28" xfId="0" applyNumberFormat="1" applyFont="1" applyFill="1" applyBorder="1" applyAlignment="1" applyProtection="1">
      <alignment horizontal="center" vertical="center" wrapText="1"/>
      <protection hidden="1"/>
    </xf>
    <xf numFmtId="0" fontId="11" fillId="3" borderId="27" xfId="0" applyFont="1" applyFill="1" applyBorder="1" applyAlignment="1" applyProtection="1">
      <alignment horizontal="center" vertical="center" wrapText="1"/>
      <protection hidden="1"/>
    </xf>
    <xf numFmtId="0" fontId="11" fillId="5" borderId="36" xfId="0" applyFont="1" applyFill="1" applyBorder="1" applyAlignment="1" applyProtection="1">
      <alignment horizontal="left" vertical="center" wrapText="1"/>
      <protection hidden="1"/>
    </xf>
    <xf numFmtId="1" fontId="12" fillId="5" borderId="48" xfId="0" applyNumberFormat="1" applyFont="1" applyFill="1" applyBorder="1" applyAlignment="1" applyProtection="1">
      <alignment horizontal="center" vertical="center" wrapText="1"/>
      <protection hidden="1"/>
    </xf>
    <xf numFmtId="0" fontId="12" fillId="5" borderId="49" xfId="0" applyFont="1" applyFill="1" applyBorder="1" applyAlignment="1" applyProtection="1">
      <alignment horizontal="center" vertical="center" wrapText="1"/>
      <protection hidden="1"/>
    </xf>
    <xf numFmtId="1" fontId="12" fillId="5" borderId="50" xfId="0" applyNumberFormat="1" applyFont="1" applyFill="1" applyBorder="1" applyAlignment="1" applyProtection="1">
      <alignment horizontal="center" vertical="center" wrapText="1"/>
      <protection hidden="1"/>
    </xf>
    <xf numFmtId="0" fontId="11" fillId="5" borderId="49" xfId="0" applyFont="1" applyFill="1" applyBorder="1" applyAlignment="1" applyProtection="1">
      <alignment horizontal="center" vertical="center" wrapText="1"/>
      <protection hidden="1"/>
    </xf>
    <xf numFmtId="1" fontId="11" fillId="5" borderId="48" xfId="0" applyNumberFormat="1" applyFont="1" applyFill="1" applyBorder="1" applyAlignment="1" applyProtection="1">
      <alignment horizontal="center" vertical="center" wrapText="1"/>
      <protection hidden="1"/>
    </xf>
    <xf numFmtId="1" fontId="11" fillId="5" borderId="50" xfId="0" applyNumberFormat="1" applyFont="1" applyFill="1" applyBorder="1" applyAlignment="1" applyProtection="1">
      <alignment horizontal="center" vertical="center" wrapText="1"/>
      <protection hidden="1"/>
    </xf>
    <xf numFmtId="0" fontId="11" fillId="5" borderId="48" xfId="0" applyFont="1" applyFill="1" applyBorder="1" applyAlignment="1" applyProtection="1">
      <alignment horizontal="center" vertical="center" wrapText="1"/>
      <protection hidden="1"/>
    </xf>
    <xf numFmtId="0" fontId="11" fillId="5" borderId="50" xfId="0" applyFont="1" applyFill="1" applyBorder="1" applyAlignment="1" applyProtection="1">
      <alignment horizontal="center" vertical="center" wrapText="1"/>
      <protection hidden="1"/>
    </xf>
    <xf numFmtId="0" fontId="11" fillId="2" borderId="16" xfId="0" applyFont="1" applyFill="1" applyBorder="1" applyProtection="1">
      <protection hidden="1"/>
    </xf>
    <xf numFmtId="0" fontId="11" fillId="7" borderId="23" xfId="0" applyFont="1" applyFill="1" applyBorder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1" fillId="2" borderId="0" xfId="0" applyFont="1" applyFill="1" applyBorder="1" applyAlignment="1" applyProtection="1">
      <alignment vertical="center"/>
      <protection hidden="1"/>
    </xf>
    <xf numFmtId="0" fontId="11" fillId="3" borderId="27" xfId="0" applyFont="1" applyFill="1" applyBorder="1" applyAlignment="1" applyProtection="1">
      <alignment horizontal="center" vertical="center"/>
      <protection hidden="1"/>
    </xf>
    <xf numFmtId="0" fontId="11" fillId="3" borderId="28" xfId="0" applyFont="1" applyFill="1" applyBorder="1" applyAlignment="1" applyProtection="1">
      <alignment horizontal="center" vertical="center"/>
      <protection hidden="1"/>
    </xf>
    <xf numFmtId="0" fontId="11" fillId="2" borderId="0" xfId="0" quotePrefix="1" applyFont="1" applyFill="1" applyBorder="1" applyAlignment="1" applyProtection="1">
      <alignment horizontal="center" vertical="center"/>
      <protection hidden="1"/>
    </xf>
    <xf numFmtId="0" fontId="11" fillId="5" borderId="26" xfId="0" applyFont="1" applyFill="1" applyBorder="1" applyAlignment="1" applyProtection="1">
      <alignment horizontal="left" vertical="center" wrapText="1"/>
      <protection hidden="1"/>
    </xf>
    <xf numFmtId="0" fontId="11" fillId="2" borderId="28" xfId="0" applyFont="1" applyFill="1" applyBorder="1" applyAlignment="1" applyProtection="1">
      <alignment horizontal="center" vertical="center"/>
      <protection locked="0" hidden="1"/>
    </xf>
    <xf numFmtId="0" fontId="12" fillId="5" borderId="27" xfId="0" applyFont="1" applyFill="1" applyBorder="1" applyAlignment="1" applyProtection="1">
      <alignment horizontal="center" vertical="center"/>
      <protection hidden="1"/>
    </xf>
    <xf numFmtId="0" fontId="12" fillId="5" borderId="28" xfId="0" applyFont="1" applyFill="1" applyBorder="1" applyAlignment="1" applyProtection="1">
      <alignment horizontal="center" vertical="center"/>
      <protection hidden="1"/>
    </xf>
    <xf numFmtId="0" fontId="11" fillId="3" borderId="54" xfId="0" applyFont="1" applyFill="1" applyBorder="1" applyAlignment="1" applyProtection="1">
      <alignment horizontal="left"/>
      <protection hidden="1"/>
    </xf>
    <xf numFmtId="0" fontId="11" fillId="5" borderId="34" xfId="0" applyFont="1" applyFill="1" applyBorder="1" applyAlignment="1" applyProtection="1">
      <alignment horizontal="left"/>
      <protection hidden="1"/>
    </xf>
    <xf numFmtId="0" fontId="11" fillId="2" borderId="34" xfId="0" applyFont="1" applyFill="1" applyBorder="1" applyAlignment="1" applyProtection="1">
      <alignment horizontal="center"/>
      <protection locked="0" hidden="1"/>
    </xf>
    <xf numFmtId="0" fontId="11" fillId="5" borderId="35" xfId="0" applyFont="1" applyFill="1" applyBorder="1" applyAlignment="1" applyProtection="1">
      <alignment horizontal="center" vertical="center"/>
      <protection hidden="1"/>
    </xf>
    <xf numFmtId="0" fontId="12" fillId="5" borderId="16" xfId="0" applyFont="1" applyFill="1" applyBorder="1" applyAlignment="1" applyProtection="1">
      <alignment horizontal="center"/>
      <protection hidden="1"/>
    </xf>
    <xf numFmtId="0" fontId="11" fillId="2" borderId="0" xfId="0" applyFont="1" applyFill="1" applyBorder="1" applyAlignment="1" applyProtection="1"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 vertical="center"/>
      <protection hidden="1"/>
    </xf>
    <xf numFmtId="0" fontId="25" fillId="8" borderId="19" xfId="0" applyFont="1" applyFill="1" applyBorder="1" applyAlignment="1" applyProtection="1">
      <alignment horizontal="center"/>
      <protection hidden="1"/>
    </xf>
    <xf numFmtId="0" fontId="25" fillId="9" borderId="47" xfId="0" applyFont="1" applyFill="1" applyBorder="1" applyAlignment="1" applyProtection="1">
      <alignment horizontal="center"/>
      <protection hidden="1"/>
    </xf>
    <xf numFmtId="0" fontId="25" fillId="8" borderId="39" xfId="0" applyFont="1" applyFill="1" applyBorder="1" applyAlignment="1" applyProtection="1">
      <alignment horizontal="center"/>
      <protection hidden="1"/>
    </xf>
    <xf numFmtId="0" fontId="11" fillId="6" borderId="21" xfId="0" applyFont="1" applyFill="1" applyBorder="1" applyAlignment="1" applyProtection="1">
      <alignment horizontal="center"/>
      <protection hidden="1"/>
    </xf>
    <xf numFmtId="0" fontId="11" fillId="6" borderId="22" xfId="0" applyFont="1" applyFill="1" applyBorder="1" applyAlignment="1" applyProtection="1">
      <alignment horizontal="center"/>
      <protection hidden="1"/>
    </xf>
    <xf numFmtId="0" fontId="11" fillId="9" borderId="38" xfId="0" applyFont="1" applyFill="1" applyBorder="1" applyAlignment="1" applyProtection="1">
      <alignment horizontal="center" vertical="center"/>
      <protection hidden="1"/>
    </xf>
    <xf numFmtId="0" fontId="12" fillId="7" borderId="51" xfId="0" applyFont="1" applyFill="1" applyBorder="1" applyAlignment="1" applyProtection="1">
      <alignment horizontal="center"/>
      <protection hidden="1"/>
    </xf>
    <xf numFmtId="0" fontId="11" fillId="7" borderId="53" xfId="0" applyFont="1" applyFill="1" applyBorder="1" applyAlignment="1" applyProtection="1">
      <alignment horizontal="center"/>
      <protection hidden="1"/>
    </xf>
    <xf numFmtId="0" fontId="12" fillId="2" borderId="0" xfId="0" applyFont="1" applyFill="1" applyBorder="1" applyAlignment="1" applyProtection="1">
      <alignment horizontal="center"/>
      <protection hidden="1"/>
    </xf>
    <xf numFmtId="0" fontId="12" fillId="2" borderId="0" xfId="0" applyFont="1" applyFill="1" applyBorder="1" applyProtection="1">
      <protection hidden="1"/>
    </xf>
    <xf numFmtId="0" fontId="12" fillId="2" borderId="0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Protection="1">
      <protection hidden="1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12" fillId="2" borderId="0" xfId="0" applyFont="1" applyFill="1" applyBorder="1" applyAlignment="1" applyProtection="1">
      <alignment horizontal="left"/>
      <protection hidden="1"/>
    </xf>
    <xf numFmtId="0" fontId="12" fillId="7" borderId="45" xfId="0" applyFont="1" applyFill="1" applyBorder="1" applyAlignment="1" applyProtection="1">
      <alignment horizontal="center"/>
      <protection hidden="1"/>
    </xf>
    <xf numFmtId="0" fontId="12" fillId="7" borderId="20" xfId="0" applyFont="1" applyFill="1" applyBorder="1" applyAlignment="1" applyProtection="1">
      <alignment horizontal="left" vertical="center"/>
      <protection hidden="1"/>
    </xf>
    <xf numFmtId="0" fontId="12" fillId="7" borderId="21" xfId="0" applyFont="1" applyFill="1" applyBorder="1" applyAlignment="1" applyProtection="1">
      <alignment horizontal="center" vertical="center"/>
      <protection hidden="1"/>
    </xf>
    <xf numFmtId="0" fontId="12" fillId="7" borderId="22" xfId="0" applyFont="1" applyFill="1" applyBorder="1" applyAlignment="1" applyProtection="1">
      <alignment horizontal="center" vertical="center"/>
      <protection hidden="1"/>
    </xf>
    <xf numFmtId="0" fontId="12" fillId="3" borderId="26" xfId="0" applyFont="1" applyFill="1" applyBorder="1" applyAlignment="1" applyProtection="1">
      <alignment horizontal="center"/>
      <protection hidden="1"/>
    </xf>
    <xf numFmtId="1" fontId="12" fillId="8" borderId="27" xfId="0" applyNumberFormat="1" applyFont="1" applyFill="1" applyBorder="1" applyAlignment="1" applyProtection="1">
      <alignment horizontal="center" vertical="center"/>
      <protection hidden="1"/>
    </xf>
    <xf numFmtId="0" fontId="12" fillId="3" borderId="13" xfId="0" quotePrefix="1" applyFont="1" applyFill="1" applyBorder="1" applyAlignment="1" applyProtection="1">
      <alignment horizontal="center" vertical="center"/>
      <protection hidden="1"/>
    </xf>
    <xf numFmtId="0" fontId="12" fillId="3" borderId="28" xfId="0" applyFont="1" applyFill="1" applyBorder="1" applyAlignment="1" applyProtection="1">
      <alignment horizontal="center" vertical="center"/>
      <protection hidden="1"/>
    </xf>
    <xf numFmtId="0" fontId="12" fillId="5" borderId="26" xfId="0" applyFont="1" applyFill="1" applyBorder="1" applyAlignment="1" applyProtection="1">
      <alignment horizontal="center"/>
      <protection hidden="1"/>
    </xf>
    <xf numFmtId="1" fontId="12" fillId="9" borderId="27" xfId="0" applyNumberFormat="1" applyFont="1" applyFill="1" applyBorder="1" applyAlignment="1" applyProtection="1">
      <alignment horizontal="center" vertical="center"/>
      <protection hidden="1"/>
    </xf>
    <xf numFmtId="0" fontId="12" fillId="5" borderId="13" xfId="0" quotePrefix="1" applyFont="1" applyFill="1" applyBorder="1" applyAlignment="1" applyProtection="1">
      <alignment horizontal="center" vertical="center"/>
      <protection hidden="1"/>
    </xf>
    <xf numFmtId="0" fontId="12" fillId="14" borderId="36" xfId="0" applyFont="1" applyFill="1" applyBorder="1" applyAlignment="1" applyProtection="1">
      <alignment horizontal="center"/>
      <protection hidden="1"/>
    </xf>
    <xf numFmtId="1" fontId="12" fillId="17" borderId="48" xfId="0" applyNumberFormat="1" applyFont="1" applyFill="1" applyBorder="1" applyAlignment="1" applyProtection="1">
      <alignment horizontal="center" vertical="center"/>
      <protection hidden="1"/>
    </xf>
    <xf numFmtId="0" fontId="12" fillId="14" borderId="49" xfId="0" quotePrefix="1" applyFont="1" applyFill="1" applyBorder="1" applyAlignment="1" applyProtection="1">
      <alignment horizontal="center" vertical="center"/>
      <protection hidden="1"/>
    </xf>
    <xf numFmtId="0" fontId="12" fillId="14" borderId="50" xfId="0" applyFont="1" applyFill="1" applyBorder="1" applyAlignment="1" applyProtection="1">
      <alignment horizontal="center" vertical="center"/>
      <protection hidden="1"/>
    </xf>
    <xf numFmtId="0" fontId="18" fillId="13" borderId="9" xfId="4" applyBorder="1">
      <alignment horizontal="center" vertical="center" wrapText="1"/>
      <protection hidden="1"/>
    </xf>
    <xf numFmtId="164" fontId="14" fillId="8" borderId="11" xfId="0" applyNumberFormat="1" applyFont="1" applyFill="1" applyBorder="1" applyAlignment="1" applyProtection="1">
      <alignment horizontal="center" vertical="center"/>
      <protection hidden="1"/>
    </xf>
    <xf numFmtId="1" fontId="11" fillId="7" borderId="11" xfId="0" applyNumberFormat="1" applyFont="1" applyFill="1" applyBorder="1" applyAlignment="1" applyProtection="1">
      <alignment horizontal="center"/>
      <protection hidden="1"/>
    </xf>
    <xf numFmtId="1" fontId="11" fillId="6" borderId="11" xfId="0" applyNumberFormat="1" applyFont="1" applyFill="1" applyBorder="1" applyAlignment="1" applyProtection="1">
      <alignment horizontal="center"/>
      <protection hidden="1"/>
    </xf>
    <xf numFmtId="0" fontId="0" fillId="10" borderId="11" xfId="1" applyFont="1">
      <alignment horizontal="center" vertical="center" wrapText="1"/>
      <protection hidden="1"/>
    </xf>
    <xf numFmtId="0" fontId="9" fillId="5" borderId="1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/>
      <protection hidden="1"/>
    </xf>
    <xf numFmtId="0" fontId="9" fillId="5" borderId="11" xfId="0" applyFont="1" applyFill="1" applyBorder="1" applyAlignment="1" applyProtection="1">
      <alignment horizontal="center" vertical="center"/>
      <protection hidden="1"/>
    </xf>
    <xf numFmtId="0" fontId="5" fillId="5" borderId="0" xfId="0" applyFont="1" applyFill="1" applyBorder="1" applyAlignment="1" applyProtection="1">
      <alignment horizontal="center"/>
      <protection hidden="1"/>
    </xf>
    <xf numFmtId="0" fontId="11" fillId="6" borderId="11" xfId="0" applyFont="1" applyFill="1" applyBorder="1" applyAlignment="1">
      <alignment horizontal="center" vertical="center"/>
    </xf>
    <xf numFmtId="0" fontId="9" fillId="7" borderId="11" xfId="0" applyFont="1" applyFill="1" applyBorder="1" applyAlignment="1" applyProtection="1">
      <alignment horizontal="center" vertical="center"/>
      <protection hidden="1"/>
    </xf>
    <xf numFmtId="0" fontId="9" fillId="7" borderId="11" xfId="0" applyFont="1" applyFill="1" applyBorder="1" applyAlignment="1" applyProtection="1">
      <alignment horizontal="center" vertical="center" wrapText="1"/>
      <protection hidden="1"/>
    </xf>
    <xf numFmtId="0" fontId="9" fillId="7" borderId="11" xfId="0" applyFont="1" applyFill="1" applyBorder="1" applyAlignment="1" applyProtection="1">
      <alignment horizontal="center" wrapText="1"/>
      <protection hidden="1"/>
    </xf>
    <xf numFmtId="0" fontId="14" fillId="9" borderId="11" xfId="0" applyFont="1" applyFill="1" applyBorder="1" applyAlignment="1" applyProtection="1">
      <alignment horizontal="center" vertical="center"/>
      <protection hidden="1"/>
    </xf>
    <xf numFmtId="0" fontId="1" fillId="7" borderId="13" xfId="0" applyFont="1" applyFill="1" applyBorder="1" applyProtection="1">
      <protection hidden="1"/>
    </xf>
    <xf numFmtId="0" fontId="10" fillId="7" borderId="13" xfId="0" applyFont="1" applyFill="1" applyBorder="1" applyProtection="1">
      <protection hidden="1"/>
    </xf>
    <xf numFmtId="0" fontId="0" fillId="7" borderId="13" xfId="0" applyFill="1" applyBorder="1" applyProtection="1">
      <protection hidden="1"/>
    </xf>
    <xf numFmtId="0" fontId="27" fillId="2" borderId="11" xfId="0" applyFont="1" applyFill="1" applyBorder="1" applyAlignment="1" applyProtection="1">
      <alignment horizontal="center"/>
      <protection hidden="1"/>
    </xf>
    <xf numFmtId="0" fontId="27" fillId="2" borderId="9" xfId="0" applyFont="1" applyFill="1" applyBorder="1" applyAlignment="1" applyProtection="1">
      <alignment horizontal="center"/>
      <protection hidden="1"/>
    </xf>
    <xf numFmtId="0" fontId="27" fillId="2" borderId="13" xfId="0" applyFont="1" applyFill="1" applyBorder="1" applyAlignment="1" applyProtection="1">
      <alignment horizontal="center"/>
      <protection hidden="1"/>
    </xf>
    <xf numFmtId="0" fontId="27" fillId="2" borderId="10" xfId="0" applyFont="1" applyFill="1" applyBorder="1" applyAlignment="1" applyProtection="1">
      <alignment horizontal="center"/>
      <protection hidden="1"/>
    </xf>
    <xf numFmtId="0" fontId="11" fillId="6" borderId="20" xfId="0" applyFont="1" applyFill="1" applyBorder="1" applyAlignment="1" applyProtection="1">
      <alignment horizontal="right"/>
      <protection hidden="1"/>
    </xf>
    <xf numFmtId="0" fontId="11" fillId="6" borderId="21" xfId="0" applyFont="1" applyFill="1" applyBorder="1" applyAlignment="1" applyProtection="1">
      <alignment horizontal="right"/>
      <protection hidden="1"/>
    </xf>
    <xf numFmtId="0" fontId="11" fillId="6" borderId="52" xfId="0" applyFont="1" applyFill="1" applyBorder="1" applyAlignment="1" applyProtection="1">
      <alignment horizontal="right"/>
      <protection hidden="1"/>
    </xf>
    <xf numFmtId="0" fontId="11" fillId="6" borderId="59" xfId="0" applyFont="1" applyFill="1" applyBorder="1" applyAlignment="1" applyProtection="1">
      <alignment horizontal="center"/>
      <protection hidden="1"/>
    </xf>
    <xf numFmtId="0" fontId="11" fillId="6" borderId="21" xfId="0" applyFont="1" applyFill="1" applyBorder="1" applyAlignment="1" applyProtection="1">
      <alignment horizontal="center"/>
      <protection hidden="1"/>
    </xf>
    <xf numFmtId="0" fontId="11" fillId="7" borderId="48" xfId="0" applyFont="1" applyFill="1" applyBorder="1" applyAlignment="1" applyProtection="1">
      <alignment horizontal="right"/>
      <protection hidden="1"/>
    </xf>
    <xf numFmtId="0" fontId="11" fillId="7" borderId="49" xfId="0" applyFont="1" applyFill="1" applyBorder="1" applyAlignment="1" applyProtection="1">
      <alignment horizontal="right"/>
      <protection hidden="1"/>
    </xf>
    <xf numFmtId="0" fontId="11" fillId="7" borderId="53" xfId="0" applyFont="1" applyFill="1" applyBorder="1" applyAlignment="1" applyProtection="1">
      <alignment horizontal="right"/>
      <protection hidden="1"/>
    </xf>
    <xf numFmtId="0" fontId="11" fillId="7" borderId="51" xfId="0" applyFont="1" applyFill="1" applyBorder="1" applyAlignment="1" applyProtection="1">
      <alignment horizontal="center"/>
      <protection hidden="1"/>
    </xf>
    <xf numFmtId="0" fontId="11" fillId="7" borderId="49" xfId="0" applyFont="1" applyFill="1" applyBorder="1" applyAlignment="1" applyProtection="1">
      <alignment horizontal="center"/>
      <protection hidden="1"/>
    </xf>
    <xf numFmtId="0" fontId="11" fillId="7" borderId="53" xfId="0" applyFont="1" applyFill="1" applyBorder="1" applyAlignment="1" applyProtection="1">
      <alignment horizontal="center"/>
      <protection hidden="1"/>
    </xf>
    <xf numFmtId="0" fontId="11" fillId="16" borderId="34" xfId="0" applyFont="1" applyFill="1" applyBorder="1" applyAlignment="1" applyProtection="1">
      <alignment horizontal="center"/>
      <protection hidden="1"/>
    </xf>
    <xf numFmtId="0" fontId="11" fillId="16" borderId="35" xfId="0" applyFont="1" applyFill="1" applyBorder="1" applyAlignment="1" applyProtection="1">
      <alignment horizontal="center"/>
      <protection hidden="1"/>
    </xf>
    <xf numFmtId="0" fontId="11" fillId="16" borderId="16" xfId="0" applyFont="1" applyFill="1" applyBorder="1" applyAlignment="1" applyProtection="1">
      <alignment horizontal="center"/>
      <protection hidden="1"/>
    </xf>
    <xf numFmtId="0" fontId="25" fillId="6" borderId="17" xfId="0" applyFont="1" applyFill="1" applyBorder="1" applyAlignment="1" applyProtection="1">
      <alignment horizontal="left"/>
      <protection hidden="1"/>
    </xf>
    <xf numFmtId="0" fontId="25" fillId="6" borderId="18" xfId="0" applyFont="1" applyFill="1" applyBorder="1" applyAlignment="1" applyProtection="1">
      <alignment horizontal="left"/>
      <protection hidden="1"/>
    </xf>
    <xf numFmtId="0" fontId="25" fillId="7" borderId="46" xfId="0" applyFont="1" applyFill="1" applyBorder="1" applyAlignment="1" applyProtection="1">
      <alignment horizontal="left"/>
      <protection hidden="1"/>
    </xf>
    <xf numFmtId="0" fontId="25" fillId="7" borderId="11" xfId="0" applyFont="1" applyFill="1" applyBorder="1" applyAlignment="1" applyProtection="1">
      <alignment horizontal="left"/>
      <protection hidden="1"/>
    </xf>
    <xf numFmtId="0" fontId="25" fillId="6" borderId="37" xfId="0" applyFont="1" applyFill="1" applyBorder="1" applyAlignment="1" applyProtection="1">
      <alignment horizontal="left"/>
      <protection hidden="1"/>
    </xf>
    <xf numFmtId="0" fontId="25" fillId="6" borderId="38" xfId="0" applyFont="1" applyFill="1" applyBorder="1" applyAlignment="1" applyProtection="1">
      <alignment horizontal="left"/>
      <protection hidden="1"/>
    </xf>
    <xf numFmtId="0" fontId="11" fillId="7" borderId="17" xfId="0" applyFont="1" applyFill="1" applyBorder="1" applyAlignment="1" applyProtection="1">
      <alignment horizontal="center" wrapText="1"/>
      <protection hidden="1"/>
    </xf>
    <xf numFmtId="0" fontId="11" fillId="7" borderId="18" xfId="0" applyFont="1" applyFill="1" applyBorder="1" applyAlignment="1" applyProtection="1">
      <alignment horizontal="center" wrapText="1"/>
      <protection hidden="1"/>
    </xf>
    <xf numFmtId="0" fontId="11" fillId="7" borderId="19" xfId="0" applyFont="1" applyFill="1" applyBorder="1" applyAlignment="1" applyProtection="1">
      <alignment horizontal="center" wrapText="1"/>
      <protection hidden="1"/>
    </xf>
    <xf numFmtId="0" fontId="11" fillId="7" borderId="20" xfId="0" applyFont="1" applyFill="1" applyBorder="1" applyAlignment="1" applyProtection="1">
      <alignment horizontal="center"/>
      <protection hidden="1"/>
    </xf>
    <xf numFmtId="0" fontId="11" fillId="7" borderId="21" xfId="0" applyFont="1" applyFill="1" applyBorder="1" applyAlignment="1" applyProtection="1">
      <alignment horizontal="center"/>
      <protection hidden="1"/>
    </xf>
    <xf numFmtId="0" fontId="11" fillId="7" borderId="22" xfId="0" applyFont="1" applyFill="1" applyBorder="1" applyAlignment="1" applyProtection="1">
      <alignment horizontal="center"/>
      <protection hidden="1"/>
    </xf>
    <xf numFmtId="0" fontId="11" fillId="2" borderId="55" xfId="0" applyFont="1" applyFill="1" applyBorder="1" applyAlignment="1" applyProtection="1">
      <alignment horizontal="center"/>
      <protection locked="0" hidden="1"/>
    </xf>
    <xf numFmtId="0" fontId="11" fillId="2" borderId="56" xfId="0" applyFont="1" applyFill="1" applyBorder="1" applyAlignment="1" applyProtection="1">
      <alignment horizontal="center"/>
      <protection locked="0" hidden="1"/>
    </xf>
    <xf numFmtId="0" fontId="11" fillId="2" borderId="58" xfId="0" applyFont="1" applyFill="1" applyBorder="1" applyAlignment="1" applyProtection="1">
      <alignment horizontal="center"/>
      <protection locked="0" hidden="1"/>
    </xf>
    <xf numFmtId="0" fontId="11" fillId="2" borderId="57" xfId="0" applyFont="1" applyFill="1" applyBorder="1" applyAlignment="1" applyProtection="1">
      <alignment horizontal="center"/>
      <protection locked="0" hidden="1"/>
    </xf>
    <xf numFmtId="0" fontId="11" fillId="6" borderId="46" xfId="0" applyFont="1" applyFill="1" applyBorder="1" applyAlignment="1" applyProtection="1">
      <alignment horizontal="center" wrapText="1"/>
      <protection hidden="1"/>
    </xf>
    <xf numFmtId="0" fontId="11" fillId="6" borderId="11" xfId="0" applyFont="1" applyFill="1" applyBorder="1" applyAlignment="1" applyProtection="1">
      <alignment horizontal="center" wrapText="1"/>
      <protection hidden="1"/>
    </xf>
    <xf numFmtId="0" fontId="11" fillId="6" borderId="47" xfId="0" applyFont="1" applyFill="1" applyBorder="1" applyAlignment="1" applyProtection="1">
      <alignment horizontal="center" wrapText="1"/>
      <protection hidden="1"/>
    </xf>
    <xf numFmtId="0" fontId="11" fillId="6" borderId="20" xfId="0" applyFont="1" applyFill="1" applyBorder="1" applyAlignment="1" applyProtection="1">
      <alignment horizontal="center" vertical="center" wrapText="1"/>
      <protection hidden="1"/>
    </xf>
    <xf numFmtId="0" fontId="11" fillId="6" borderId="21" xfId="0" applyFont="1" applyFill="1" applyBorder="1" applyAlignment="1" applyProtection="1">
      <alignment horizontal="center" vertical="center" wrapText="1"/>
      <protection hidden="1"/>
    </xf>
    <xf numFmtId="0" fontId="11" fillId="6" borderId="22" xfId="0" applyFont="1" applyFill="1" applyBorder="1" applyAlignment="1" applyProtection="1">
      <alignment horizontal="center" vertical="center" wrapText="1"/>
      <protection hidden="1"/>
    </xf>
    <xf numFmtId="0" fontId="11" fillId="6" borderId="17" xfId="0" applyFont="1" applyFill="1" applyBorder="1" applyAlignment="1" applyProtection="1">
      <alignment horizontal="center" vertical="center" wrapText="1"/>
      <protection hidden="1"/>
    </xf>
    <xf numFmtId="0" fontId="11" fillId="6" borderId="18" xfId="0" applyFont="1" applyFill="1" applyBorder="1" applyAlignment="1" applyProtection="1">
      <alignment horizontal="center" vertical="center" wrapText="1"/>
      <protection hidden="1"/>
    </xf>
    <xf numFmtId="0" fontId="11" fillId="6" borderId="19" xfId="0" applyFont="1" applyFill="1" applyBorder="1" applyAlignment="1" applyProtection="1">
      <alignment horizontal="center" vertical="center" wrapText="1"/>
      <protection hidden="1"/>
    </xf>
    <xf numFmtId="0" fontId="11" fillId="15" borderId="27" xfId="0" applyFont="1" applyFill="1" applyBorder="1" applyAlignment="1" applyProtection="1">
      <alignment horizontal="center"/>
      <protection hidden="1"/>
    </xf>
    <xf numFmtId="0" fontId="11" fillId="15" borderId="13" xfId="0" applyFont="1" applyFill="1" applyBorder="1" applyAlignment="1" applyProtection="1">
      <alignment horizontal="center"/>
      <protection hidden="1"/>
    </xf>
    <xf numFmtId="0" fontId="11" fillId="15" borderId="28" xfId="0" applyFont="1" applyFill="1" applyBorder="1" applyAlignment="1" applyProtection="1">
      <alignment horizontal="center"/>
      <protection hidden="1"/>
    </xf>
    <xf numFmtId="0" fontId="11" fillId="7" borderId="17" xfId="0" applyFont="1" applyFill="1" applyBorder="1" applyAlignment="1" applyProtection="1">
      <alignment horizontal="center"/>
      <protection hidden="1"/>
    </xf>
    <xf numFmtId="0" fontId="11" fillId="7" borderId="18" xfId="0" applyFont="1" applyFill="1" applyBorder="1" applyAlignment="1" applyProtection="1">
      <alignment horizontal="center"/>
      <protection hidden="1"/>
    </xf>
    <xf numFmtId="0" fontId="11" fillId="7" borderId="19" xfId="0" applyFont="1" applyFill="1" applyBorder="1" applyAlignment="1" applyProtection="1">
      <alignment horizontal="center"/>
      <protection hidden="1"/>
    </xf>
    <xf numFmtId="0" fontId="11" fillId="2" borderId="37" xfId="0" applyFont="1" applyFill="1" applyBorder="1" applyAlignment="1" applyProtection="1">
      <alignment horizontal="center" vertical="center" wrapText="1"/>
      <protection locked="0" hidden="1"/>
    </xf>
    <xf numFmtId="0" fontId="11" fillId="2" borderId="38" xfId="0" applyFont="1" applyFill="1" applyBorder="1" applyAlignment="1" applyProtection="1">
      <alignment horizontal="center" vertical="center" wrapText="1"/>
      <protection locked="0" hidden="1"/>
    </xf>
    <xf numFmtId="0" fontId="11" fillId="2" borderId="39" xfId="0" applyFont="1" applyFill="1" applyBorder="1" applyAlignment="1" applyProtection="1">
      <alignment horizontal="center" vertical="center" wrapText="1"/>
      <protection locked="0" hidden="1"/>
    </xf>
    <xf numFmtId="0" fontId="11" fillId="15" borderId="37" xfId="0" quotePrefix="1" applyFont="1" applyFill="1" applyBorder="1" applyAlignment="1" applyProtection="1">
      <alignment horizontal="center" vertical="center" wrapText="1"/>
      <protection hidden="1"/>
    </xf>
    <xf numFmtId="0" fontId="11" fillId="15" borderId="38" xfId="0" applyFont="1" applyFill="1" applyBorder="1" applyAlignment="1" applyProtection="1">
      <alignment horizontal="center" vertical="center" wrapText="1"/>
      <protection hidden="1"/>
    </xf>
    <xf numFmtId="0" fontId="11" fillId="15" borderId="39" xfId="0" applyFont="1" applyFill="1" applyBorder="1" applyAlignment="1" applyProtection="1">
      <alignment horizontal="center" vertical="center" wrapText="1"/>
      <protection hidden="1"/>
    </xf>
    <xf numFmtId="0" fontId="11" fillId="7" borderId="17" xfId="0" applyFont="1" applyFill="1" applyBorder="1" applyAlignment="1" applyProtection="1">
      <alignment horizontal="center" vertical="center" wrapText="1"/>
      <protection hidden="1"/>
    </xf>
    <xf numFmtId="0" fontId="11" fillId="7" borderId="18" xfId="0" applyFont="1" applyFill="1" applyBorder="1" applyAlignment="1" applyProtection="1">
      <alignment horizontal="center" vertical="center" wrapText="1"/>
      <protection hidden="1"/>
    </xf>
    <xf numFmtId="0" fontId="11" fillId="7" borderId="19" xfId="0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Border="1" applyAlignment="1" applyProtection="1">
      <alignment horizontal="left" vertical="center"/>
      <protection hidden="1"/>
    </xf>
    <xf numFmtId="0" fontId="21" fillId="2" borderId="0" xfId="0" applyFont="1" applyFill="1" applyAlignment="1">
      <alignment horizontal="center"/>
    </xf>
    <xf numFmtId="0" fontId="22" fillId="2" borderId="0" xfId="0" applyFont="1" applyFill="1" applyAlignment="1" applyProtection="1">
      <alignment horizontal="center"/>
      <protection hidden="1"/>
    </xf>
    <xf numFmtId="0" fontId="22" fillId="2" borderId="0" xfId="0" applyFont="1" applyFill="1" applyBorder="1" applyAlignment="1" applyProtection="1">
      <alignment horizontal="center"/>
      <protection hidden="1"/>
    </xf>
    <xf numFmtId="0" fontId="24" fillId="2" borderId="0" xfId="0" applyFont="1" applyFill="1" applyBorder="1" applyAlignment="1" applyProtection="1">
      <alignment horizontal="left" vertical="center"/>
      <protection hidden="1"/>
    </xf>
    <xf numFmtId="0" fontId="11" fillId="2" borderId="60" xfId="0" applyFont="1" applyFill="1" applyBorder="1" applyAlignment="1" applyProtection="1">
      <alignment horizontal="center"/>
      <protection hidden="1"/>
    </xf>
    <xf numFmtId="0" fontId="11" fillId="2" borderId="0" xfId="0" applyFont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 applyProtection="1">
      <alignment horizontal="center" vertical="center" wrapText="1"/>
      <protection hidden="1"/>
    </xf>
    <xf numFmtId="0" fontId="0" fillId="3" borderId="6" xfId="0" applyFill="1" applyBorder="1" applyAlignment="1" applyProtection="1">
      <alignment horizontal="center" vertical="center" wrapText="1"/>
      <protection hidden="1"/>
    </xf>
    <xf numFmtId="0" fontId="0" fillId="3" borderId="8" xfId="0" applyFill="1" applyBorder="1" applyAlignment="1" applyProtection="1">
      <alignment horizontal="center" vertical="center" wrapText="1"/>
      <protection hidden="1"/>
    </xf>
    <xf numFmtId="0" fontId="5" fillId="5" borderId="9" xfId="7" applyFont="1" applyBorder="1" applyAlignment="1">
      <protection hidden="1"/>
    </xf>
    <xf numFmtId="0" fontId="5" fillId="5" borderId="10" xfId="7" applyFont="1" applyBorder="1" applyAlignment="1">
      <protection hidden="1"/>
    </xf>
    <xf numFmtId="0" fontId="5" fillId="3" borderId="9" xfId="6" applyFont="1" applyBorder="1" applyAlignment="1">
      <protection hidden="1"/>
    </xf>
    <xf numFmtId="0" fontId="5" fillId="3" borderId="10" xfId="6" applyFont="1" applyBorder="1" applyAlignment="1">
      <protection hidden="1"/>
    </xf>
    <xf numFmtId="0" fontId="5" fillId="5" borderId="9" xfId="7" applyFont="1" applyBorder="1" applyAlignment="1">
      <alignment horizontal="left"/>
      <protection hidden="1"/>
    </xf>
    <xf numFmtId="0" fontId="5" fillId="5" borderId="10" xfId="7" applyFont="1" applyBorder="1" applyAlignment="1">
      <alignment horizontal="left"/>
      <protection hidden="1"/>
    </xf>
    <xf numFmtId="0" fontId="5" fillId="3" borderId="6" xfId="6" applyFont="1" applyBorder="1" applyAlignment="1">
      <protection hidden="1"/>
    </xf>
    <xf numFmtId="0" fontId="5" fillId="3" borderId="8" xfId="6" applyFont="1" applyBorder="1" applyAlignment="1">
      <protection hidden="1"/>
    </xf>
    <xf numFmtId="0" fontId="5" fillId="5" borderId="9" xfId="0" applyFont="1" applyFill="1" applyBorder="1" applyAlignment="1" applyProtection="1">
      <protection hidden="1"/>
    </xf>
    <xf numFmtId="0" fontId="5" fillId="5" borderId="10" xfId="0" applyFont="1" applyFill="1" applyBorder="1" applyAlignment="1" applyProtection="1">
      <protection hidden="1"/>
    </xf>
    <xf numFmtId="0" fontId="5" fillId="3" borderId="9" xfId="0" applyFont="1" applyFill="1" applyBorder="1" applyAlignment="1" applyProtection="1">
      <protection hidden="1"/>
    </xf>
    <xf numFmtId="0" fontId="5" fillId="3" borderId="10" xfId="0" applyFont="1" applyFill="1" applyBorder="1" applyAlignment="1" applyProtection="1">
      <protection hidden="1"/>
    </xf>
    <xf numFmtId="0" fontId="13" fillId="2" borderId="11" xfId="0" applyFont="1" applyFill="1" applyBorder="1" applyAlignment="1" applyProtection="1">
      <alignment horizontal="center"/>
      <protection hidden="1"/>
    </xf>
    <xf numFmtId="0" fontId="6" fillId="7" borderId="9" xfId="0" applyFont="1" applyFill="1" applyBorder="1" applyAlignment="1" applyProtection="1">
      <alignment horizontal="center"/>
      <protection hidden="1"/>
    </xf>
    <xf numFmtId="0" fontId="4" fillId="7" borderId="13" xfId="0" applyFont="1" applyFill="1" applyBorder="1" applyAlignment="1" applyProtection="1">
      <alignment horizontal="center"/>
      <protection hidden="1"/>
    </xf>
    <xf numFmtId="0" fontId="4" fillId="4" borderId="9" xfId="0" applyFont="1" applyFill="1" applyBorder="1" applyAlignment="1" applyProtection="1">
      <alignment horizontal="center" vertical="center"/>
      <protection hidden="1"/>
    </xf>
    <xf numFmtId="0" fontId="5" fillId="4" borderId="10" xfId="0" applyFont="1" applyFill="1" applyBorder="1" applyAlignment="1" applyProtection="1">
      <alignment horizontal="center" vertical="center"/>
      <protection hidden="1"/>
    </xf>
    <xf numFmtId="0" fontId="6" fillId="7" borderId="9" xfId="0" applyFont="1" applyFill="1" applyBorder="1" applyAlignment="1" applyProtection="1">
      <alignment horizontal="center" vertical="center"/>
      <protection hidden="1"/>
    </xf>
    <xf numFmtId="0" fontId="4" fillId="7" borderId="13" xfId="0" applyFont="1" applyFill="1" applyBorder="1" applyAlignment="1" applyProtection="1">
      <alignment horizontal="center" vertical="center"/>
      <protection hidden="1"/>
    </xf>
    <xf numFmtId="0" fontId="6" fillId="7" borderId="6" xfId="0" applyFont="1" applyFill="1" applyBorder="1" applyAlignment="1" applyProtection="1">
      <alignment horizontal="center"/>
      <protection hidden="1"/>
    </xf>
    <xf numFmtId="0" fontId="6" fillId="7" borderId="7" xfId="0" applyFont="1" applyFill="1" applyBorder="1" applyAlignment="1" applyProtection="1">
      <alignment horizontal="center"/>
      <protection hidden="1"/>
    </xf>
    <xf numFmtId="0" fontId="13" fillId="2" borderId="11" xfId="5">
      <alignment horizontal="center"/>
      <protection hidden="1"/>
    </xf>
    <xf numFmtId="0" fontId="17" fillId="2" borderId="0" xfId="0" applyFont="1" applyFill="1" applyBorder="1" applyAlignment="1" applyProtection="1">
      <alignment horizontal="center"/>
      <protection hidden="1"/>
    </xf>
    <xf numFmtId="0" fontId="5" fillId="3" borderId="11" xfId="0" applyFont="1" applyFill="1" applyBorder="1" applyAlignment="1" applyProtection="1">
      <protection hidden="1"/>
    </xf>
    <xf numFmtId="0" fontId="5" fillId="3" borderId="9" xfId="0" applyFont="1" applyFill="1" applyBorder="1" applyAlignment="1" applyProtection="1">
      <alignment horizontal="left"/>
      <protection hidden="1"/>
    </xf>
    <xf numFmtId="0" fontId="5" fillId="3" borderId="10" xfId="0" applyFont="1" applyFill="1" applyBorder="1" applyAlignment="1" applyProtection="1">
      <alignment horizontal="left"/>
      <protection hidden="1"/>
    </xf>
    <xf numFmtId="0" fontId="6" fillId="7" borderId="13" xfId="0" applyFont="1" applyFill="1" applyBorder="1" applyAlignment="1" applyProtection="1">
      <alignment horizontal="center" vertical="center"/>
      <protection hidden="1"/>
    </xf>
    <xf numFmtId="0" fontId="5" fillId="5" borderId="1" xfId="0" applyFont="1" applyFill="1" applyBorder="1" applyAlignment="1" applyProtection="1">
      <protection hidden="1"/>
    </xf>
    <xf numFmtId="0" fontId="5" fillId="5" borderId="3" xfId="0" applyFont="1" applyFill="1" applyBorder="1" applyAlignment="1" applyProtection="1"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5" fillId="5" borderId="9" xfId="0" applyFont="1" applyFill="1" applyBorder="1" applyAlignment="1" applyProtection="1">
      <alignment horizontal="left"/>
      <protection hidden="1"/>
    </xf>
    <xf numFmtId="0" fontId="5" fillId="5" borderId="10" xfId="0" applyFont="1" applyFill="1" applyBorder="1" applyAlignment="1" applyProtection="1">
      <alignment horizontal="left"/>
      <protection hidden="1"/>
    </xf>
    <xf numFmtId="0" fontId="5" fillId="3" borderId="6" xfId="0" applyFont="1" applyFill="1" applyBorder="1" applyAlignment="1" applyProtection="1">
      <protection hidden="1"/>
    </xf>
    <xf numFmtId="0" fontId="5" fillId="3" borderId="8" xfId="0" applyFont="1" applyFill="1" applyBorder="1" applyAlignment="1" applyProtection="1">
      <protection hidden="1"/>
    </xf>
    <xf numFmtId="0" fontId="18" fillId="10" borderId="9" xfId="1" applyBorder="1" applyAlignment="1">
      <alignment horizontal="center" vertical="center" wrapText="1"/>
      <protection hidden="1"/>
    </xf>
    <xf numFmtId="0" fontId="18" fillId="10" borderId="13" xfId="1" applyBorder="1" applyAlignment="1">
      <alignment horizontal="center" vertical="center" wrapText="1"/>
      <protection hidden="1"/>
    </xf>
    <xf numFmtId="0" fontId="18" fillId="10" borderId="10" xfId="1" applyBorder="1" applyAlignment="1">
      <alignment horizontal="center" vertical="center" wrapText="1"/>
      <protection hidden="1"/>
    </xf>
    <xf numFmtId="0" fontId="18" fillId="11" borderId="9" xfId="2" applyBorder="1" applyAlignment="1">
      <alignment horizontal="center" vertical="center" wrapText="1"/>
      <protection hidden="1"/>
    </xf>
    <xf numFmtId="0" fontId="18" fillId="11" borderId="13" xfId="2" applyBorder="1" applyAlignment="1">
      <alignment horizontal="center" vertical="center" wrapText="1"/>
      <protection hidden="1"/>
    </xf>
    <xf numFmtId="0" fontId="18" fillId="11" borderId="10" xfId="2" applyBorder="1" applyAlignment="1">
      <alignment horizontal="center" vertical="center" wrapText="1"/>
      <protection hidden="1"/>
    </xf>
    <xf numFmtId="0" fontId="18" fillId="12" borderId="9" xfId="3" applyBorder="1" applyAlignment="1">
      <alignment horizontal="center" vertical="center" wrapText="1"/>
      <protection hidden="1"/>
    </xf>
    <xf numFmtId="0" fontId="18" fillId="12" borderId="13" xfId="3" applyBorder="1" applyAlignment="1">
      <alignment horizontal="center" vertical="center" wrapText="1"/>
      <protection hidden="1"/>
    </xf>
    <xf numFmtId="0" fontId="18" fillId="12" borderId="10" xfId="3" applyBorder="1" applyAlignment="1">
      <alignment horizontal="center" vertical="center" wrapText="1"/>
      <protection hidden="1"/>
    </xf>
    <xf numFmtId="0" fontId="18" fillId="13" borderId="9" xfId="4" applyBorder="1" applyAlignment="1">
      <alignment horizontal="center" vertical="center" wrapText="1"/>
      <protection hidden="1"/>
    </xf>
    <xf numFmtId="0" fontId="18" fillId="13" borderId="13" xfId="4" applyBorder="1" applyAlignment="1">
      <alignment horizontal="center" vertical="center" wrapText="1"/>
      <protection hidden="1"/>
    </xf>
    <xf numFmtId="0" fontId="18" fillId="13" borderId="10" xfId="4" applyBorder="1" applyAlignment="1">
      <alignment horizontal="center" vertical="center" wrapText="1"/>
      <protection hidden="1"/>
    </xf>
  </cellXfs>
  <cellStyles count="8">
    <cellStyle name="1" xfId="1"/>
    <cellStyle name="2" xfId="2"/>
    <cellStyle name="3" xfId="3"/>
    <cellStyle name="4" xfId="4"/>
    <cellStyle name="Неактивность" xfId="5"/>
    <cellStyle name="Обычный" xfId="0" builtinId="0"/>
    <cellStyle name="светлый" xfId="6"/>
    <cellStyle name="темный" xfId="7"/>
  </cellStyles>
  <dxfs count="27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ont>
        <b/>
        <i val="0"/>
      </font>
      <fill>
        <patternFill>
          <bgColor rgb="FFFF0000"/>
        </patternFill>
      </fill>
    </dxf>
    <dxf>
      <fill>
        <patternFill patternType="lightUp">
          <fgColor rgb="FFFFC000"/>
        </patternFill>
      </fill>
    </dxf>
    <dxf>
      <fill>
        <patternFill patternType="darkUp">
          <f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 patternType="lightTrellis">
          <fgColor rgb="FFFFC000"/>
        </patternFill>
      </fill>
    </dxf>
    <dxf>
      <fill>
        <patternFill>
          <bgColor rgb="FFFFC000"/>
        </patternFill>
      </fill>
    </dxf>
    <dxf>
      <fill>
        <patternFill patternType="lightTrellis">
          <fgColor rgb="FFFFC000"/>
        </patternFill>
      </fill>
    </dxf>
    <dxf>
      <font>
        <color rgb="FFFFC000"/>
      </font>
    </dxf>
    <dxf>
      <fill>
        <patternFill patternType="solid">
          <fgColor rgb="FFFFC000"/>
          <bgColor rgb="FFFFC000"/>
        </patternFill>
      </fill>
    </dxf>
    <dxf>
      <fill>
        <patternFill patternType="lightUp">
          <f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fgColor auto="1"/>
          <bgColor rgb="FFFF0000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2" formatCode="0.0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 patternType="lightUp">
          <fgColor rgb="FFFFC000"/>
        </patternFill>
      </fill>
    </dxf>
    <dxf>
      <fill>
        <patternFill patternType="darkUp">
          <f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 patternType="lightTrellis">
          <fgColor rgb="FFFFC000"/>
        </patternFill>
      </fill>
    </dxf>
    <dxf>
      <fill>
        <patternFill>
          <bgColor rgb="FFFFC000"/>
        </patternFill>
      </fill>
    </dxf>
    <dxf>
      <fill>
        <patternFill patternType="lightTrellis">
          <fgColor rgb="FFFFC000"/>
        </patternFill>
      </fill>
    </dxf>
    <dxf>
      <font>
        <color rgb="FFFFC000"/>
      </font>
    </dxf>
    <dxf>
      <fill>
        <patternFill patternType="solid">
          <fgColor rgb="FFFFC000"/>
          <bgColor rgb="FFFFC000"/>
        </patternFill>
      </fill>
    </dxf>
    <dxf>
      <fill>
        <patternFill patternType="lightUp">
          <f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fgColor auto="1"/>
          <bgColor rgb="FFFF0000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2" formatCode="0.0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 patternType="lightUp">
          <fgColor rgb="FFFFC000"/>
        </patternFill>
      </fill>
    </dxf>
    <dxf>
      <fill>
        <patternFill patternType="darkUp">
          <f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 patternType="lightTrellis">
          <fgColor rgb="FFFFC000"/>
        </patternFill>
      </fill>
    </dxf>
    <dxf>
      <fill>
        <patternFill>
          <bgColor rgb="FFFFC000"/>
        </patternFill>
      </fill>
    </dxf>
    <dxf>
      <fill>
        <patternFill patternType="lightTrellis">
          <fgColor rgb="FFFFC000"/>
        </patternFill>
      </fill>
    </dxf>
    <dxf>
      <font>
        <color rgb="FFFFC000"/>
      </font>
    </dxf>
    <dxf>
      <fill>
        <patternFill patternType="solid">
          <fgColor rgb="FFFFC000"/>
          <bgColor rgb="FFFFC000"/>
        </patternFill>
      </fill>
    </dxf>
    <dxf>
      <fill>
        <patternFill patternType="lightUp">
          <f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fgColor auto="1"/>
          <bgColor rgb="FFFF0000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2" formatCode="0.0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darkUp">
          <fgColor rgb="FFFF0000"/>
        </patternFill>
      </fill>
    </dxf>
    <dxf>
      <font>
        <color rgb="FFFF0000"/>
      </font>
    </dxf>
    <dxf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 patternType="lightTrellis">
          <fgColor rgb="FFFFC000"/>
        </patternFill>
      </fill>
    </dxf>
    <dxf>
      <fill>
        <patternFill>
          <bgColor rgb="FFFFC000"/>
        </patternFill>
      </fill>
    </dxf>
    <dxf>
      <fill>
        <patternFill patternType="lightTrellis">
          <fgColor rgb="FFFFC000"/>
        </patternFill>
      </fill>
    </dxf>
    <dxf>
      <font>
        <color rgb="FFFFC000"/>
      </font>
    </dxf>
    <dxf>
      <fill>
        <patternFill patternType="solid">
          <fgColor rgb="FFFFC000"/>
          <bgColor rgb="FFFFC000"/>
        </patternFill>
      </fill>
    </dxf>
    <dxf>
      <fill>
        <patternFill patternType="lightUp">
          <f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ill>
        <patternFill patternType="lightUp">
          <fgColor rgb="FFFFC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fgColor auto="1"/>
          <bgColor rgb="FFFF0000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2" formatCode="0.00"/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C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C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 patternType="solid">
          <fgColor auto="1"/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38100</xdr:rowOff>
        </xdr:from>
        <xdr:to>
          <xdr:col>4</xdr:col>
          <xdr:colOff>381000</xdr:colOff>
          <xdr:row>2</xdr:row>
          <xdr:rowOff>0</xdr:rowOff>
        </xdr:to>
        <xdr:sp macro="" textlink="">
          <xdr:nvSpPr>
            <xdr:cNvPr id="10247" name="Object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85725</xdr:rowOff>
        </xdr:from>
        <xdr:to>
          <xdr:col>2</xdr:col>
          <xdr:colOff>1847850</xdr:colOff>
          <xdr:row>2</xdr:row>
          <xdr:rowOff>76200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85725</xdr:rowOff>
        </xdr:from>
        <xdr:to>
          <xdr:col>2</xdr:col>
          <xdr:colOff>1847850</xdr:colOff>
          <xdr:row>2</xdr:row>
          <xdr:rowOff>76200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85725</xdr:rowOff>
        </xdr:from>
        <xdr:to>
          <xdr:col>2</xdr:col>
          <xdr:colOff>1847850</xdr:colOff>
          <xdr:row>2</xdr:row>
          <xdr:rowOff>76200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85725</xdr:rowOff>
        </xdr:from>
        <xdr:to>
          <xdr:col>2</xdr:col>
          <xdr:colOff>1847850</xdr:colOff>
          <xdr:row>2</xdr:row>
          <xdr:rowOff>76200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K165"/>
  <sheetViews>
    <sheetView tabSelected="1" workbookViewId="0">
      <selection activeCell="C9" sqref="C9"/>
    </sheetView>
  </sheetViews>
  <sheetFormatPr defaultRowHeight="15" x14ac:dyDescent="0.25"/>
  <cols>
    <col min="1" max="1" width="1.42578125" customWidth="1"/>
    <col min="2" max="2" width="24.28515625" customWidth="1"/>
    <col min="3" max="3" width="9.140625" customWidth="1"/>
    <col min="4" max="4" width="2.140625" customWidth="1"/>
    <col min="7" max="7" width="2.140625" customWidth="1"/>
    <col min="9" max="9" width="10.28515625" bestFit="1" customWidth="1"/>
    <col min="10" max="10" width="2.140625" customWidth="1"/>
    <col min="11" max="11" width="10.28515625" bestFit="1" customWidth="1"/>
    <col min="13" max="13" width="2.140625" customWidth="1"/>
    <col min="14" max="14" width="9.7109375" bestFit="1" customWidth="1"/>
    <col min="16" max="16" width="2.140625" customWidth="1"/>
    <col min="17" max="17" width="9.7109375" bestFit="1" customWidth="1"/>
    <col min="19" max="19" width="2.140625" customWidth="1"/>
    <col min="22" max="22" width="2.140625" customWidth="1"/>
    <col min="25" max="25" width="2.140625" customWidth="1"/>
    <col min="26" max="26" width="10.28515625" bestFit="1" customWidth="1"/>
    <col min="27" max="27" width="1.42578125" customWidth="1"/>
    <col min="28" max="29" width="4.28515625" customWidth="1"/>
    <col min="31" max="31" width="9.140625" customWidth="1"/>
    <col min="34" max="34" width="9.140625" customWidth="1"/>
  </cols>
  <sheetData>
    <row r="1" spans="1:37" x14ac:dyDescent="0.25">
      <c r="A1" s="1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ht="23.25" x14ac:dyDescent="0.35">
      <c r="A2" s="1"/>
      <c r="B2" s="137"/>
      <c r="F2" s="443" t="s">
        <v>444</v>
      </c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443"/>
      <c r="U2" s="138"/>
      <c r="V2" s="138"/>
      <c r="W2" s="138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20.25" x14ac:dyDescent="0.3">
      <c r="A3" s="1"/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444" t="s">
        <v>445</v>
      </c>
      <c r="P3" s="444"/>
      <c r="Q3" s="444"/>
      <c r="R3" s="139" t="s">
        <v>883</v>
      </c>
      <c r="S3" s="3"/>
      <c r="T3" s="445"/>
      <c r="U3" s="445"/>
      <c r="V3" s="249"/>
      <c r="W3" s="249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1"/>
      <c r="AK3" s="1"/>
    </row>
    <row r="4" spans="1:37" x14ac:dyDescent="0.25">
      <c r="A4" s="1"/>
      <c r="B4" s="249"/>
      <c r="C4" s="249"/>
      <c r="D4" s="249"/>
      <c r="E4" s="249"/>
      <c r="F4" s="249"/>
      <c r="G4" s="249"/>
      <c r="H4" s="24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1"/>
      <c r="AK4" s="1"/>
    </row>
    <row r="5" spans="1:37" ht="16.5" thickBot="1" x14ac:dyDescent="0.3">
      <c r="A5" s="1"/>
      <c r="B5" s="250" t="s">
        <v>446</v>
      </c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1"/>
      <c r="AK5" s="1"/>
    </row>
    <row r="6" spans="1:37" ht="15.75" thickBot="1" x14ac:dyDescent="0.3">
      <c r="A6" s="1"/>
      <c r="B6" s="251"/>
      <c r="C6" s="439" t="s">
        <v>447</v>
      </c>
      <c r="D6" s="440"/>
      <c r="E6" s="441"/>
      <c r="F6" s="439" t="s">
        <v>448</v>
      </c>
      <c r="G6" s="440"/>
      <c r="H6" s="441"/>
      <c r="I6" s="439" t="s">
        <v>449</v>
      </c>
      <c r="J6" s="440"/>
      <c r="K6" s="441"/>
      <c r="L6" s="439" t="s">
        <v>450</v>
      </c>
      <c r="M6" s="440"/>
      <c r="N6" s="441"/>
      <c r="O6" s="439" t="s">
        <v>451</v>
      </c>
      <c r="P6" s="440"/>
      <c r="Q6" s="441"/>
      <c r="R6" s="439" t="s">
        <v>452</v>
      </c>
      <c r="S6" s="440"/>
      <c r="T6" s="441"/>
      <c r="U6" s="411" t="s">
        <v>453</v>
      </c>
      <c r="V6" s="412"/>
      <c r="W6" s="413"/>
      <c r="X6" s="439" t="s">
        <v>454</v>
      </c>
      <c r="Y6" s="440"/>
      <c r="Z6" s="441"/>
      <c r="AA6" s="3"/>
      <c r="AB6" s="3"/>
      <c r="AC6" s="3"/>
      <c r="AD6" s="3"/>
      <c r="AE6" s="3"/>
      <c r="AF6" s="3"/>
      <c r="AG6" s="3"/>
      <c r="AH6" s="3"/>
      <c r="AI6" s="3"/>
      <c r="AJ6" s="1"/>
      <c r="AK6" s="1"/>
    </row>
    <row r="7" spans="1:37" ht="28.5" x14ac:dyDescent="0.25">
      <c r="A7" s="1"/>
      <c r="B7" s="252" t="s">
        <v>455</v>
      </c>
      <c r="C7" s="253" t="s">
        <v>456</v>
      </c>
      <c r="D7" s="254" t="s">
        <v>457</v>
      </c>
      <c r="E7" s="255" t="s">
        <v>458</v>
      </c>
      <c r="F7" s="253" t="s">
        <v>456</v>
      </c>
      <c r="G7" s="254" t="s">
        <v>457</v>
      </c>
      <c r="H7" s="255" t="s">
        <v>458</v>
      </c>
      <c r="I7" s="253" t="s">
        <v>456</v>
      </c>
      <c r="J7" s="254" t="s">
        <v>457</v>
      </c>
      <c r="K7" s="255" t="s">
        <v>458</v>
      </c>
      <c r="L7" s="253" t="s">
        <v>456</v>
      </c>
      <c r="M7" s="254" t="s">
        <v>457</v>
      </c>
      <c r="N7" s="255" t="s">
        <v>458</v>
      </c>
      <c r="O7" s="253" t="s">
        <v>456</v>
      </c>
      <c r="P7" s="254" t="s">
        <v>457</v>
      </c>
      <c r="Q7" s="255" t="s">
        <v>458</v>
      </c>
      <c r="R7" s="253" t="s">
        <v>456</v>
      </c>
      <c r="S7" s="254" t="s">
        <v>457</v>
      </c>
      <c r="T7" s="255" t="s">
        <v>458</v>
      </c>
      <c r="U7" s="253" t="s">
        <v>456</v>
      </c>
      <c r="V7" s="254" t="s">
        <v>457</v>
      </c>
      <c r="W7" s="255" t="s">
        <v>458</v>
      </c>
      <c r="X7" s="253" t="s">
        <v>456</v>
      </c>
      <c r="Y7" s="254" t="s">
        <v>457</v>
      </c>
      <c r="Z7" s="255" t="s">
        <v>458</v>
      </c>
      <c r="AA7" s="3"/>
      <c r="AB7" s="3"/>
      <c r="AC7" s="3"/>
      <c r="AD7" s="3"/>
      <c r="AE7" s="3"/>
      <c r="AF7" s="3"/>
      <c r="AG7" s="3"/>
      <c r="AH7" s="3"/>
      <c r="AI7" s="3"/>
      <c r="AJ7" s="1"/>
      <c r="AK7" s="1"/>
    </row>
    <row r="8" spans="1:37" x14ac:dyDescent="0.25">
      <c r="A8" s="1"/>
      <c r="B8" s="256" t="s">
        <v>459</v>
      </c>
      <c r="C8" s="257">
        <v>0</v>
      </c>
      <c r="D8" s="258" t="s">
        <v>457</v>
      </c>
      <c r="E8" s="259">
        <f>IF($R$3="01",0,MIN(FLOOR(ШДанные!$E6/ШДанные!C$12,1),FLOOR(ШДанные!$E$8/ШДанные!C$13,1))+C8)</f>
        <v>0</v>
      </c>
      <c r="F8" s="257">
        <v>0</v>
      </c>
      <c r="G8" s="258" t="s">
        <v>457</v>
      </c>
      <c r="H8" s="259">
        <f>IF($R$3="01",0,MIN(FLOOR(ШДанные!$E6/ШДанные!D$12,1),FLOOR(ШДанные!$E$8/ШДанные!D$13,1))+F8)</f>
        <v>0</v>
      </c>
      <c r="I8" s="257">
        <v>0</v>
      </c>
      <c r="J8" s="258" t="s">
        <v>457</v>
      </c>
      <c r="K8" s="259">
        <f>IF($R$3="01",0,MIN(FLOOR(ШДанные!$E6/ШДанные!E$12,1),FLOOR(ШДанные!$E$8/ШДанные!E$13,1),ШДанные!E14-I11)+I8)</f>
        <v>0</v>
      </c>
      <c r="L8" s="257">
        <v>0</v>
      </c>
      <c r="M8" s="258" t="s">
        <v>457</v>
      </c>
      <c r="N8" s="259">
        <f>IF($R$3="01",0,MIN(FLOOR(ШДанные!$E6/ШДанные!F$12,1),FLOOR(ШДанные!$E$8/ШДанные!F$13,1))+L8)</f>
        <v>0</v>
      </c>
      <c r="O8" s="257">
        <v>0</v>
      </c>
      <c r="P8" s="258" t="s">
        <v>457</v>
      </c>
      <c r="Q8" s="259">
        <f>IF($R$3="01",0,MIN(FLOOR(ШДанные!$E6/ШДанные!G$12,1),FLOOR(ШДанные!$E$8/ШДанные!G$13,1))+O8)</f>
        <v>0</v>
      </c>
      <c r="R8" s="257">
        <v>0</v>
      </c>
      <c r="S8" s="258" t="s">
        <v>457</v>
      </c>
      <c r="T8" s="259">
        <f>IF($R$3="01",0,MIN(FLOOR(ШДанные!$E6/ШДанные!H$12,1),ШДанные!H14-R11)+R8)</f>
        <v>0</v>
      </c>
      <c r="U8" s="257">
        <v>0</v>
      </c>
      <c r="V8" s="258" t="s">
        <v>457</v>
      </c>
      <c r="W8" s="259">
        <f>IF($R$3="01",0,MIN(FLOOR(ШДанные!$E6/ШДанные!J$12,1),FLOOR(ШДанные!$E$8/ШДанные!J$13,1))+U8)</f>
        <v>0</v>
      </c>
      <c r="X8" s="257">
        <v>0</v>
      </c>
      <c r="Y8" s="258" t="s">
        <v>457</v>
      </c>
      <c r="Z8" s="259">
        <f>IF($R$3="01",0,MIN(FLOOR(ШДанные!$E6/ШДанные!I$12,1),ШДанные!I14-X11)+X8)</f>
        <v>0</v>
      </c>
      <c r="AA8" s="3"/>
      <c r="AB8" s="3"/>
      <c r="AC8" s="3"/>
      <c r="AD8" s="3"/>
      <c r="AE8" s="3"/>
      <c r="AF8" s="3"/>
      <c r="AG8" s="3"/>
      <c r="AH8" s="3"/>
      <c r="AI8" s="3"/>
      <c r="AJ8" s="1"/>
      <c r="AK8" s="1"/>
    </row>
    <row r="9" spans="1:37" x14ac:dyDescent="0.25">
      <c r="A9" s="1"/>
      <c r="B9" s="260" t="s">
        <v>460</v>
      </c>
      <c r="C9" s="261">
        <v>0</v>
      </c>
      <c r="D9" s="262" t="s">
        <v>457</v>
      </c>
      <c r="E9" s="248">
        <f>MIN(FLOOR(ШДанные!$E7/ШДанные!C$12,1),FLOOR(ШДанные!$E$8/ШДанные!C$13,1))+C9</f>
        <v>4</v>
      </c>
      <c r="F9" s="261">
        <v>0</v>
      </c>
      <c r="G9" s="262" t="s">
        <v>457</v>
      </c>
      <c r="H9" s="248">
        <f>MIN(FLOOR(ШДанные!$E7/ШДанные!D$12,1),FLOOR(ШДанные!$E$8/ШДанные!D$13,1))+F9</f>
        <v>5</v>
      </c>
      <c r="I9" s="261">
        <v>0</v>
      </c>
      <c r="J9" s="262" t="s">
        <v>457</v>
      </c>
      <c r="K9" s="248">
        <f>MIN(FLOOR(ШДанные!$E7/ШДанные!E$12,1),FLOOR(ШДанные!$E$8/ШДанные!E$13,1),ШДанные!E14-I11)+I9</f>
        <v>2</v>
      </c>
      <c r="L9" s="261">
        <v>0</v>
      </c>
      <c r="M9" s="262" t="s">
        <v>457</v>
      </c>
      <c r="N9" s="248">
        <f>MIN(FLOOR(ШДанные!$E7/ШДанные!F$12,1),FLOOR(ШДанные!$E$8/ШДанные!F$13,1))+L9</f>
        <v>5</v>
      </c>
      <c r="O9" s="261">
        <v>0</v>
      </c>
      <c r="P9" s="262" t="s">
        <v>457</v>
      </c>
      <c r="Q9" s="248">
        <f>MIN(FLOOR(ШДанные!$E7/ШДанные!G$12,1),FLOOR(ШДанные!$E$8/ШДанные!G$13,1))+O9</f>
        <v>5</v>
      </c>
      <c r="R9" s="261">
        <v>0</v>
      </c>
      <c r="S9" s="262" t="s">
        <v>457</v>
      </c>
      <c r="T9" s="248">
        <f>MIN(FLOOR(ШДанные!$E7/ШДанные!H$12,1),ШДанные!H14-R11)+R9</f>
        <v>1</v>
      </c>
      <c r="U9" s="261">
        <v>0</v>
      </c>
      <c r="V9" s="262" t="s">
        <v>457</v>
      </c>
      <c r="W9" s="248">
        <f>MIN(FLOOR(ШДанные!$E7/ШДанные!J$12,1),FLOOR(ШДанные!$E$8/ШДанные!J$13,1))+U9</f>
        <v>12</v>
      </c>
      <c r="X9" s="261">
        <v>0</v>
      </c>
      <c r="Y9" s="262" t="s">
        <v>457</v>
      </c>
      <c r="Z9" s="248">
        <f>MIN(FLOOR(ШДанные!$E7/ШДанные!I$12,1),ШДанные!I14-X11)+X9</f>
        <v>0</v>
      </c>
      <c r="AA9" s="3"/>
      <c r="AB9" s="3"/>
      <c r="AC9" s="3"/>
      <c r="AD9" s="3"/>
      <c r="AE9" s="3"/>
      <c r="AF9" s="3"/>
      <c r="AG9" s="3"/>
      <c r="AH9" s="3"/>
      <c r="AI9" s="3"/>
      <c r="AJ9" s="1"/>
      <c r="AK9" s="1"/>
    </row>
    <row r="10" spans="1:37" ht="15.75" thickBot="1" x14ac:dyDescent="0.3">
      <c r="A10" s="1"/>
      <c r="B10" s="263" t="s">
        <v>461</v>
      </c>
      <c r="C10" s="264">
        <v>0</v>
      </c>
      <c r="D10" s="265" t="s">
        <v>457</v>
      </c>
      <c r="E10" s="266">
        <f>FLOOR(ШДанные!$E$8/(ШДанные!C$12+ШДанные!C$13),1)+C10</f>
        <v>2</v>
      </c>
      <c r="F10" s="264">
        <v>0</v>
      </c>
      <c r="G10" s="265" t="s">
        <v>457</v>
      </c>
      <c r="H10" s="266">
        <f>FLOOR(ШДанные!$E$8/(ШДанные!D$12+ШДанные!D$13),1)+F10</f>
        <v>2</v>
      </c>
      <c r="I10" s="264">
        <v>0</v>
      </c>
      <c r="J10" s="265" t="s">
        <v>457</v>
      </c>
      <c r="K10" s="266">
        <f>MIN(FLOOR(ШДанные!$E$8/(ШДанные!E$12+ШДанные!E$13),1),ШДанные!E14-I11)+I10</f>
        <v>1</v>
      </c>
      <c r="L10" s="264">
        <v>0</v>
      </c>
      <c r="M10" s="265" t="s">
        <v>457</v>
      </c>
      <c r="N10" s="266">
        <f>FLOOR(ШДанные!$E$8/(ШДанные!F$12+ШДанные!F$13),1)+L10</f>
        <v>3</v>
      </c>
      <c r="O10" s="264">
        <v>0</v>
      </c>
      <c r="P10" s="265" t="s">
        <v>457</v>
      </c>
      <c r="Q10" s="266">
        <f>FLOOR(ШДанные!$E$8/(ШДанные!G$12+ШДанные!G$13),1)+O10</f>
        <v>3</v>
      </c>
      <c r="R10" s="264">
        <v>0</v>
      </c>
      <c r="S10" s="265" t="s">
        <v>457</v>
      </c>
      <c r="T10" s="266">
        <f>MIN(FLOOR(ШДанные!$E$8/(ШДанные!H$12+ШДанные!H$13),1),ШДанные!H14-R11)+R10</f>
        <v>1</v>
      </c>
      <c r="U10" s="264">
        <v>1</v>
      </c>
      <c r="V10" s="265" t="s">
        <v>457</v>
      </c>
      <c r="W10" s="266">
        <f>FLOOR(ШДанные!$E$8/(ШДанные!J$12+ШДанные!J$13),1)+U10</f>
        <v>7</v>
      </c>
      <c r="X10" s="264">
        <v>0</v>
      </c>
      <c r="Y10" s="265" t="s">
        <v>457</v>
      </c>
      <c r="Z10" s="266">
        <f>MIN(FLOOR(ШДанные!$E$8/(ШДанные!I$12+ШДанные!I$13),1),ШДанные!I14-X11)+X10</f>
        <v>0</v>
      </c>
      <c r="AA10" s="3"/>
      <c r="AB10" s="3"/>
      <c r="AC10" s="3"/>
      <c r="AD10" s="3"/>
      <c r="AE10" s="3"/>
      <c r="AF10" s="3"/>
      <c r="AG10" s="3"/>
      <c r="AH10" s="3"/>
      <c r="AI10" s="3"/>
      <c r="AJ10" s="1"/>
      <c r="AK10" s="1"/>
    </row>
    <row r="11" spans="1:37" ht="16.5" thickTop="1" thickBot="1" x14ac:dyDescent="0.3">
      <c r="A11" s="1"/>
      <c r="B11" s="267" t="s">
        <v>462</v>
      </c>
      <c r="C11" s="268">
        <f>IF($R$3="01",SUM(C9:C10),SUM(C8:C10))</f>
        <v>0</v>
      </c>
      <c r="D11" s="269" t="s">
        <v>457</v>
      </c>
      <c r="E11" s="270">
        <f>MIN(FLOOR((ШДанные!$E$8-ШДанные!C13*(FLOOR(ШДанные!$E$7/ШДанные!C12,1)+IF($R$3="01",0,FLOOR(ШДанные!$E$6/ШДанные!C12,1))))/(ШДанные!C13+ШДанные!C12),1)+FLOOR(ШДанные!$E$7/ШДанные!C12,1)+IF($R$3="01",0,FLOOR(ШДанные!$E$6/ШДанные!C12,1)),FLOOR(ШДанные!$E$8/ШДанные!C13,1))+C11</f>
        <v>5</v>
      </c>
      <c r="F11" s="268">
        <f>IF($R$3="01",SUM(F9:F10),SUM(F8:F10))</f>
        <v>0</v>
      </c>
      <c r="G11" s="269" t="s">
        <v>457</v>
      </c>
      <c r="H11" s="270">
        <f>MIN(FLOOR((ШДанные!$E$8-ШДанные!D13*(FLOOR(ШДанные!$E$7/ШДанные!D12,1)+IF($R$3="01",0,FLOOR(ШДанные!$E$6/ШДанные!D12,1))))/(ШДанные!D13+ШДанные!D12),1)+FLOOR(ШДанные!$E$7/ШДанные!D12,1)+IF($R$3="01",0,FLOOR(ШДанные!$E$6/ШДанные!D12,1)),FLOOR(ШДанные!$E$8/ШДанные!D13,1))+F11</f>
        <v>5</v>
      </c>
      <c r="I11" s="268">
        <f>IF($R$3="01",SUM(I9:I10),SUM(I8:I10))</f>
        <v>0</v>
      </c>
      <c r="J11" s="269" t="s">
        <v>457</v>
      </c>
      <c r="K11" s="270">
        <f>MIN(FLOOR((ШДанные!$E$8-ШДанные!E13*(FLOOR(ШДанные!$E$7/ШДанные!E12,1)+IF($R$3="01",0,FLOOR(ШДанные!$E$6/ШДанные!E12,1))))/(ШДанные!E13+ШДанные!E12),1)+FLOOR(ШДанные!$E$7/ШДанные!E12,1)+IF($R$3="01",0,FLOOR(ШДанные!$E$6/ШДанные!E12,1)),FLOOR(ШДанные!$E$8/ШДанные!E13,1),ШДанные!E14-I11)+I11</f>
        <v>3</v>
      </c>
      <c r="L11" s="268">
        <f>IF($R$3="01",SUM(L9:L10),SUM(L8:L10))</f>
        <v>0</v>
      </c>
      <c r="M11" s="269" t="s">
        <v>457</v>
      </c>
      <c r="N11" s="270">
        <f>MIN(FLOOR((ШДанные!$E$8-ШДанные!F13*(FLOOR(ШДанные!$E$7/ШДанные!F12,1)+IF($R$3="01",0,FLOOR(ШДанные!$E$6/ШДанные!F12,1))))/(ШДанные!F13+ШДанные!F12),1)+FLOOR(ШДанные!$E$7/ШДанные!F12,1)+IF($R$3="01",0,FLOOR(ШДанные!$E$6/ШДанные!F12,1)),FLOOR(ШДанные!$E$8/ШДанные!F13,1))+L11</f>
        <v>6</v>
      </c>
      <c r="O11" s="268">
        <f>IF($R$3="01",SUM(O9:O10),SUM(O8:O10))</f>
        <v>0</v>
      </c>
      <c r="P11" s="269" t="s">
        <v>457</v>
      </c>
      <c r="Q11" s="270">
        <f>MIN(FLOOR((ШДанные!$E$8-ШДанные!G13*(FLOOR(ШДанные!$E$7/ШДанные!G12,1)+IF($R$3="01",0,FLOOR(ШДанные!$E$6/ШДанные!G12,1))))/(ШДанные!G13+ШДанные!G12),1)+FLOOR(ШДанные!$E$7/ШДанные!G12,1)+IF($R$3="01",0,FLOOR(ШДанные!$E$6/ШДанные!G12,1)),FLOOR(ШДанные!$E$8/ШДанные!G13,1))+O11</f>
        <v>7</v>
      </c>
      <c r="R11" s="268">
        <f>IF($R$3="01",SUM(R9:R10),SUM(R8:R10))</f>
        <v>0</v>
      </c>
      <c r="S11" s="269" t="s">
        <v>457</v>
      </c>
      <c r="T11" s="270">
        <f>MIN(FLOOR(ШДанные!$E$8/ШДанные!H12,1)+FLOOR(ШДанные!$E$7/ШДанные!H12,1)+IF($R$3="01",0,FLOOR(ШДанные!$E$6/ШДанные!H12,1)),ШДанные!H14-R11)+R11</f>
        <v>1</v>
      </c>
      <c r="U11" s="268">
        <f>IF($R$3="01",SUM(U9:U10),SUM(U8:U10))</f>
        <v>1</v>
      </c>
      <c r="V11" s="269" t="s">
        <v>457</v>
      </c>
      <c r="W11" s="270">
        <f>MIN(FLOOR((ШДанные!$E$8-ШДанные!J13*(FLOOR(ШДанные!$E$7/ШДанные!J12,1)+IF($R$3="01",0,FLOOR(ШДанные!$E$6/ШДанные!J12,1))))/(ШДанные!J13+ШДанные!J12),1)+FLOOR(ШДанные!$E$7/ШДанные!J12,1)+IF($R$3="01",0,FLOOR(ШДанные!$E$6/ШДанные!J12,1)),FLOOR(ШДанные!$E$8/ШДанные!J13,1))+U11</f>
        <v>15</v>
      </c>
      <c r="X11" s="268">
        <f>IF($R$3="01",SUM(X9:X10),SUM(X8:X10))</f>
        <v>0</v>
      </c>
      <c r="Y11" s="269" t="s">
        <v>457</v>
      </c>
      <c r="Z11" s="270">
        <f>MIN(FLOOR(ШДанные!$E$8/ШДанные!I12,1)+FLOOR(ШДанные!$E$7/ШДанные!I12,1)+IF($R$3="01",0,FLOOR(ШДанные!$E$6/ШДанные!I12,1)),ШДанные!I14-X11)+X11</f>
        <v>0</v>
      </c>
      <c r="AA11" s="3"/>
      <c r="AB11" s="3"/>
      <c r="AC11" s="3"/>
      <c r="AD11" s="3"/>
      <c r="AE11" s="3"/>
      <c r="AF11" s="3"/>
      <c r="AG11" s="3"/>
      <c r="AH11" s="3"/>
      <c r="AI11" s="3"/>
      <c r="AJ11" s="1"/>
      <c r="AK11" s="1"/>
    </row>
    <row r="12" spans="1:37" ht="44.25" thickBot="1" x14ac:dyDescent="0.3">
      <c r="A12" s="1"/>
      <c r="B12" s="271" t="s">
        <v>463</v>
      </c>
      <c r="C12" s="433" t="s">
        <v>531</v>
      </c>
      <c r="D12" s="434"/>
      <c r="E12" s="435"/>
      <c r="F12" s="433" t="s">
        <v>465</v>
      </c>
      <c r="G12" s="434"/>
      <c r="H12" s="435"/>
      <c r="I12" s="436"/>
      <c r="J12" s="437"/>
      <c r="K12" s="438"/>
      <c r="L12" s="433">
        <v>0</v>
      </c>
      <c r="M12" s="434"/>
      <c r="N12" s="435"/>
      <c r="O12" s="433">
        <v>0</v>
      </c>
      <c r="P12" s="434"/>
      <c r="Q12" s="435"/>
      <c r="R12" s="436"/>
      <c r="S12" s="437"/>
      <c r="T12" s="438"/>
      <c r="U12" s="436"/>
      <c r="V12" s="437"/>
      <c r="W12" s="438"/>
      <c r="X12" s="436"/>
      <c r="Y12" s="437"/>
      <c r="Z12" s="438"/>
      <c r="AA12" s="3"/>
      <c r="AB12" s="3"/>
      <c r="AC12" s="3"/>
      <c r="AD12" s="3"/>
      <c r="AE12" s="3"/>
      <c r="AF12" s="3"/>
      <c r="AG12" s="3"/>
      <c r="AH12" s="3"/>
      <c r="AI12" s="3"/>
      <c r="AJ12" s="1"/>
      <c r="AK12" s="1"/>
    </row>
    <row r="13" spans="1:37" x14ac:dyDescent="0.25">
      <c r="A13" s="1"/>
      <c r="B13" s="272"/>
      <c r="C13" s="273"/>
      <c r="D13" s="246"/>
      <c r="E13" s="273"/>
      <c r="F13" s="273"/>
      <c r="G13" s="246"/>
      <c r="H13" s="273"/>
      <c r="I13" s="273"/>
      <c r="J13" s="246"/>
      <c r="K13" s="273"/>
      <c r="L13" s="273"/>
      <c r="M13" s="246"/>
      <c r="N13" s="273"/>
      <c r="O13" s="273"/>
      <c r="P13" s="246"/>
      <c r="Q13" s="273"/>
      <c r="R13" s="273"/>
      <c r="S13" s="246"/>
      <c r="T13" s="273"/>
      <c r="U13" s="273"/>
      <c r="V13" s="246"/>
      <c r="W13" s="273"/>
      <c r="X13" s="46"/>
      <c r="Y13" s="3"/>
      <c r="Z13" s="3"/>
      <c r="AA13" s="446"/>
      <c r="AB13" s="446"/>
      <c r="AC13" s="446"/>
      <c r="AD13" s="446"/>
      <c r="AE13" s="446"/>
      <c r="AF13" s="446"/>
      <c r="AG13" s="446"/>
      <c r="AH13" s="446"/>
      <c r="AI13" s="3"/>
      <c r="AJ13" s="1"/>
      <c r="AK13" s="1"/>
    </row>
    <row r="14" spans="1:37" ht="16.5" thickBot="1" x14ac:dyDescent="0.3">
      <c r="A14" s="1"/>
      <c r="B14" s="274" t="s">
        <v>466</v>
      </c>
      <c r="C14" s="273"/>
      <c r="D14" s="246"/>
      <c r="E14" s="273"/>
      <c r="F14" s="273"/>
      <c r="G14" s="246"/>
      <c r="H14" s="273"/>
      <c r="I14" s="273"/>
      <c r="J14" s="246"/>
      <c r="K14" s="273"/>
      <c r="L14" s="273"/>
      <c r="M14" s="246"/>
      <c r="N14" s="273"/>
      <c r="O14" s="273"/>
      <c r="P14" s="246"/>
      <c r="Q14" s="273"/>
      <c r="R14" s="273"/>
      <c r="S14" s="246"/>
      <c r="T14" s="273"/>
      <c r="U14" s="273"/>
      <c r="V14" s="246"/>
      <c r="W14" s="273"/>
      <c r="X14" s="46"/>
      <c r="Y14" s="3"/>
      <c r="Z14" s="3"/>
      <c r="AA14" s="446"/>
      <c r="AB14" s="446"/>
      <c r="AC14" s="446"/>
      <c r="AD14" s="446"/>
      <c r="AE14" s="446"/>
      <c r="AF14" s="446"/>
      <c r="AG14" s="446"/>
      <c r="AH14" s="446"/>
      <c r="AI14" s="3"/>
      <c r="AJ14" s="1"/>
      <c r="AK14" s="1"/>
    </row>
    <row r="15" spans="1:37" ht="15.75" thickBot="1" x14ac:dyDescent="0.3">
      <c r="A15" s="1"/>
      <c r="B15" s="275"/>
      <c r="C15" s="430" t="s">
        <v>467</v>
      </c>
      <c r="D15" s="431"/>
      <c r="E15" s="432"/>
      <c r="F15" s="430" t="s">
        <v>68</v>
      </c>
      <c r="G15" s="431"/>
      <c r="H15" s="432"/>
      <c r="I15" s="430" t="s">
        <v>69</v>
      </c>
      <c r="J15" s="431"/>
      <c r="K15" s="432"/>
      <c r="L15" s="411" t="s">
        <v>70</v>
      </c>
      <c r="M15" s="412"/>
      <c r="N15" s="413"/>
      <c r="O15" s="411" t="s">
        <v>71</v>
      </c>
      <c r="P15" s="412"/>
      <c r="Q15" s="413"/>
      <c r="R15" s="430" t="s">
        <v>72</v>
      </c>
      <c r="S15" s="431"/>
      <c r="T15" s="432"/>
      <c r="U15" s="447"/>
      <c r="V15" s="448"/>
      <c r="W15" s="448"/>
      <c r="X15" s="3"/>
      <c r="Y15" s="3"/>
      <c r="Z15" s="3"/>
      <c r="AA15" s="46"/>
      <c r="AB15" s="46"/>
      <c r="AC15" s="442"/>
      <c r="AD15" s="442"/>
      <c r="AE15" s="442"/>
      <c r="AF15" s="442"/>
      <c r="AG15" s="442"/>
      <c r="AH15" s="442"/>
      <c r="AI15" s="3"/>
      <c r="AJ15" s="1"/>
      <c r="AK15" s="1"/>
    </row>
    <row r="16" spans="1:37" ht="28.5" x14ac:dyDescent="0.25">
      <c r="A16" s="1"/>
      <c r="B16" s="252" t="s">
        <v>455</v>
      </c>
      <c r="C16" s="253" t="s">
        <v>456</v>
      </c>
      <c r="D16" s="254" t="s">
        <v>457</v>
      </c>
      <c r="E16" s="255" t="s">
        <v>458</v>
      </c>
      <c r="F16" s="253" t="s">
        <v>456</v>
      </c>
      <c r="G16" s="254" t="s">
        <v>457</v>
      </c>
      <c r="H16" s="255" t="s">
        <v>458</v>
      </c>
      <c r="I16" s="253" t="s">
        <v>456</v>
      </c>
      <c r="J16" s="254" t="s">
        <v>457</v>
      </c>
      <c r="K16" s="255" t="s">
        <v>458</v>
      </c>
      <c r="L16" s="253" t="s">
        <v>456</v>
      </c>
      <c r="M16" s="254" t="s">
        <v>457</v>
      </c>
      <c r="N16" s="255" t="s">
        <v>458</v>
      </c>
      <c r="O16" s="253" t="s">
        <v>456</v>
      </c>
      <c r="P16" s="254" t="s">
        <v>457</v>
      </c>
      <c r="Q16" s="255" t="s">
        <v>458</v>
      </c>
      <c r="R16" s="253" t="s">
        <v>456</v>
      </c>
      <c r="S16" s="254" t="s">
        <v>457</v>
      </c>
      <c r="T16" s="255" t="s">
        <v>458</v>
      </c>
      <c r="U16" s="243"/>
      <c r="V16" s="244"/>
      <c r="W16" s="244"/>
      <c r="X16" s="3"/>
      <c r="Y16" s="3"/>
      <c r="Z16" s="3"/>
      <c r="AA16" s="46"/>
      <c r="AB16" s="446" t="s">
        <v>800</v>
      </c>
      <c r="AC16" s="446"/>
      <c r="AD16" s="446"/>
      <c r="AE16" s="446"/>
      <c r="AF16" s="446"/>
      <c r="AG16" s="446"/>
      <c r="AH16" s="446"/>
      <c r="AI16" s="446"/>
      <c r="AJ16" s="1"/>
      <c r="AK16" s="1"/>
    </row>
    <row r="17" spans="1:37" ht="15" customHeight="1" x14ac:dyDescent="0.25">
      <c r="A17" s="1"/>
      <c r="B17" s="256" t="s">
        <v>459</v>
      </c>
      <c r="C17" s="276">
        <v>0</v>
      </c>
      <c r="D17" s="277" t="s">
        <v>457</v>
      </c>
      <c r="E17" s="259">
        <f>IF($R$3="01",0,MIN(FLOOR(ШДанные!$E$6/ШДанные!C$19,1),FLOOR((ШДанные!$E$8-ШДанные!$J$27*ШДанные!$E$13)/ШДанные!C$20,1))+C17)</f>
        <v>0</v>
      </c>
      <c r="F17" s="276">
        <v>0</v>
      </c>
      <c r="G17" s="277" t="s">
        <v>457</v>
      </c>
      <c r="H17" s="259">
        <f>IF($R$3="01",0,MIN(FLOOR(ШДанные!$E$6/ШДанные!D$19,1),FLOOR((ШДанные!$E$8-ШДанные!$J$27*ШДанные!$E$13)/ШДанные!D$20,1))+F17)</f>
        <v>0</v>
      </c>
      <c r="I17" s="276">
        <v>0</v>
      </c>
      <c r="J17" s="277" t="s">
        <v>457</v>
      </c>
      <c r="K17" s="259">
        <f>IF($R$3="01",0,MIN(FLOOR(ШДанные!$E$6/ШДанные!E$19,1),FLOOR((ШДанные!$E$8-ШДанные!$J$27*ШДанные!$E$13)/ШДанные!E$20,1))+I17)</f>
        <v>0</v>
      </c>
      <c r="L17" s="276">
        <v>0</v>
      </c>
      <c r="M17" s="277" t="s">
        <v>457</v>
      </c>
      <c r="N17" s="259">
        <f>IF($R$3="01",0,MIN(FLOOR(ШДанные!$E$6/ШДанные!F$19,1),FLOOR((ШДанные!$E$8-ШДанные!$J$27*ШДанные!$E$13)/ШДанные!F$20,1))+L17)</f>
        <v>0</v>
      </c>
      <c r="O17" s="276">
        <v>0</v>
      </c>
      <c r="P17" s="277" t="s">
        <v>457</v>
      </c>
      <c r="Q17" s="259">
        <f>IF($R$3="01",0,MIN(FLOOR(ШДанные!$E$6/ШДанные!G$19,1),FLOOR((ШДанные!$E$8-ШДанные!$J$27*ШДанные!$E$13)/ШДанные!G$20,1))+O17)</f>
        <v>0</v>
      </c>
      <c r="R17" s="276">
        <v>0</v>
      </c>
      <c r="S17" s="277" t="s">
        <v>457</v>
      </c>
      <c r="T17" s="259">
        <f>IF($R$3="01",0,MIN(FLOOR(ШДанные!$E$6/ШДанные!H$19,1),FLOOR((ШДанные!$E$8-ШДанные!$J$27*ШДанные!$E$13)/ШДанные!H$20,1))+R17)</f>
        <v>0</v>
      </c>
      <c r="U17" s="245"/>
      <c r="V17" s="246"/>
      <c r="W17" s="244"/>
      <c r="X17" s="3"/>
      <c r="Y17" s="3"/>
      <c r="Z17" s="3"/>
      <c r="AA17" s="46"/>
      <c r="AB17" s="446"/>
      <c r="AC17" s="446"/>
      <c r="AD17" s="446"/>
      <c r="AE17" s="446"/>
      <c r="AF17" s="446"/>
      <c r="AG17" s="446"/>
      <c r="AH17" s="446"/>
      <c r="AI17" s="446"/>
      <c r="AJ17" s="1"/>
      <c r="AK17" s="1"/>
    </row>
    <row r="18" spans="1:37" x14ac:dyDescent="0.25">
      <c r="A18" s="1"/>
      <c r="B18" s="260" t="s">
        <v>460</v>
      </c>
      <c r="C18" s="276">
        <v>0</v>
      </c>
      <c r="D18" s="278" t="s">
        <v>457</v>
      </c>
      <c r="E18" s="248">
        <f>MIN(FLOOR(ШДанные!$E7/ШДанные!C$19,1),FLOOR((ШДанные!$E$8-ШДанные!$J$27*ШДанные!$E$13)/ШДанные!C$20,1))+C18</f>
        <v>7</v>
      </c>
      <c r="F18" s="276">
        <v>0</v>
      </c>
      <c r="G18" s="278" t="s">
        <v>457</v>
      </c>
      <c r="H18" s="248">
        <f>MIN(FLOOR(ШДанные!$E7/ШДанные!D$19,1),FLOOR((ШДанные!$E$8-ШДанные!$J$27*ШДанные!$E$13)/ШДанные!D$20,1))+F18</f>
        <v>20</v>
      </c>
      <c r="I18" s="276">
        <v>0</v>
      </c>
      <c r="J18" s="278" t="s">
        <v>457</v>
      </c>
      <c r="K18" s="248">
        <f>MIN(FLOOR(ШДанные!$E7/ШДанные!E$19,1),FLOOR((ШДанные!$E$8-ШДанные!$J$27*ШДанные!$E$13)/ШДанные!E$20,1))+I18</f>
        <v>21</v>
      </c>
      <c r="L18" s="276">
        <v>0</v>
      </c>
      <c r="M18" s="278" t="s">
        <v>457</v>
      </c>
      <c r="N18" s="248">
        <f>MIN(FLOOR(ШДанные!$E7/ШДанные!F$19,1),FLOOR((ШДанные!$E$8-ШДанные!$J$27*ШДанные!$E$13)/ШДанные!F$20,1))+L18</f>
        <v>20</v>
      </c>
      <c r="O18" s="276">
        <v>0</v>
      </c>
      <c r="P18" s="278" t="s">
        <v>457</v>
      </c>
      <c r="Q18" s="248">
        <f>MIN(FLOOR(ШДанные!$E7/ШДанные!G$19,1),FLOOR((ШДанные!$E$8-ШДанные!$J$27*ШДанные!$E$13)/ШДанные!G$20,1))+O18</f>
        <v>12</v>
      </c>
      <c r="R18" s="276">
        <v>0</v>
      </c>
      <c r="S18" s="278" t="s">
        <v>457</v>
      </c>
      <c r="T18" s="248">
        <f>MIN(FLOOR(ШДанные!$E7/ШДанные!H$19,1),FLOOR((ШДанные!$E$8-ШДанные!$J$27*ШДанные!$E$13)/ШДанные!H$20,1))+R18</f>
        <v>21</v>
      </c>
      <c r="U18" s="245"/>
      <c r="V18" s="246"/>
      <c r="W18" s="247"/>
      <c r="X18" s="3"/>
      <c r="Y18" s="3"/>
      <c r="Z18" s="3"/>
      <c r="AA18" s="46"/>
      <c r="AB18" s="279"/>
      <c r="AC18" s="280"/>
      <c r="AD18" s="442" t="s">
        <v>801</v>
      </c>
      <c r="AE18" s="442"/>
      <c r="AF18" s="442"/>
      <c r="AG18" s="442"/>
      <c r="AH18" s="442"/>
      <c r="AI18" s="442"/>
      <c r="AJ18" s="1"/>
      <c r="AK18" s="1"/>
    </row>
    <row r="19" spans="1:37" ht="15.75" thickBot="1" x14ac:dyDescent="0.3">
      <c r="A19" s="1"/>
      <c r="B19" s="263" t="s">
        <v>461</v>
      </c>
      <c r="C19" s="281">
        <v>0</v>
      </c>
      <c r="D19" s="282" t="s">
        <v>457</v>
      </c>
      <c r="E19" s="283">
        <f>MIN(FLOOR((ШДанные!$E$8-ШДанные!$J$27*ШДанные!$E$13)/(ШДанные!C$19+ШДанные!C$20),1))+C19</f>
        <v>3</v>
      </c>
      <c r="F19" s="281">
        <v>0</v>
      </c>
      <c r="G19" s="282" t="s">
        <v>457</v>
      </c>
      <c r="H19" s="283">
        <f>MIN(FLOOR((ШДанные!$E$8-ШДанные!$J$27*ШДанные!$E$13)/(ШДанные!D$19+ШДанные!D$20),1))+F19</f>
        <v>9</v>
      </c>
      <c r="I19" s="281">
        <v>0</v>
      </c>
      <c r="J19" s="282" t="s">
        <v>457</v>
      </c>
      <c r="K19" s="283">
        <f>MIN(FLOOR((ШДанные!$E$8-ШДанные!$J$27*ШДанные!$E$13)/(ШДанные!E$19+ШДанные!E$20),1))+I19</f>
        <v>10</v>
      </c>
      <c r="L19" s="281">
        <v>0</v>
      </c>
      <c r="M19" s="282" t="s">
        <v>457</v>
      </c>
      <c r="N19" s="283">
        <f>MIN(FLOOR((ШДанные!$E$8-ШДанные!$J$27*ШДанные!$E$13)/(ШДанные!F$19+ШДанные!F$20),1))+L19</f>
        <v>9</v>
      </c>
      <c r="O19" s="281">
        <v>0</v>
      </c>
      <c r="P19" s="282" t="s">
        <v>457</v>
      </c>
      <c r="Q19" s="283">
        <f>MIN(FLOOR((ШДанные!$E$8-ШДанные!$J$27*ШДанные!$E$13)/(ШДанные!G$19+ШДанные!G$20),1))+O19</f>
        <v>7</v>
      </c>
      <c r="R19" s="281">
        <v>0</v>
      </c>
      <c r="S19" s="282" t="s">
        <v>457</v>
      </c>
      <c r="T19" s="283">
        <f>MIN(FLOOR((ШДанные!$E$8-ШДанные!$J$27*ШДанные!$E$13)/(ШДанные!H$19+ШДанные!H$20),1))+R19</f>
        <v>10</v>
      </c>
      <c r="U19" s="245"/>
      <c r="V19" s="246"/>
      <c r="W19" s="244"/>
      <c r="X19" s="3"/>
      <c r="Y19" s="3"/>
      <c r="Z19" s="3"/>
      <c r="AA19" s="46"/>
      <c r="AB19" s="284"/>
      <c r="AC19" s="285"/>
      <c r="AD19" s="442" t="s">
        <v>802</v>
      </c>
      <c r="AE19" s="442"/>
      <c r="AF19" s="442"/>
      <c r="AG19" s="442"/>
      <c r="AH19" s="442"/>
      <c r="AI19" s="442"/>
      <c r="AJ19" s="1"/>
      <c r="AK19" s="1"/>
    </row>
    <row r="20" spans="1:37" ht="16.5" thickTop="1" thickBot="1" x14ac:dyDescent="0.3">
      <c r="A20" s="1"/>
      <c r="B20" s="267" t="s">
        <v>462</v>
      </c>
      <c r="C20" s="286">
        <f>IF($R$3="01",SUM(C18:C19),SUM(C17:C19))</f>
        <v>0</v>
      </c>
      <c r="D20" s="287" t="s">
        <v>457</v>
      </c>
      <c r="E20" s="288">
        <f>MIN(FLOOR(((ШДанные!$E$8-ШДанные!$J$27*ШДанные!$E$13)-ШДанные!C20*(FLOOR(ШДанные!$E$7/ШДанные!C19,1)+IF($R$3="01",0,FLOOR(ШДанные!$E$6/ШДанные!C19,1))))/(ШДанные!C20+ШДанные!C19),1)+FLOOR(ШДанные!$E$7/ШДанные!C19,1)+IF($R$3="01",0,FLOOR(ШДанные!$E$6/ШДанные!C19,1)),FLOOR((ШДанные!$E$8-ШДанные!$J$27*ШДанные!$E$13)/ШДанные!C20,1))+C20</f>
        <v>9</v>
      </c>
      <c r="F20" s="286">
        <f>IF($R$3="01",SUM(F18:F19),SUM(F17:F19))</f>
        <v>0</v>
      </c>
      <c r="G20" s="287" t="s">
        <v>457</v>
      </c>
      <c r="H20" s="288">
        <f>MIN(FLOOR(((ШДанные!$E$8-ШДанные!$J$27*ШДанные!$E$13)-ШДанные!D20*(FLOOR(ШДанные!$E$7/ШДанные!D19,1)+IF($R$3="01",0,FLOOR(ШДанные!$E$6/ШДанные!D19,1))))/(ШДанные!D20+ШДанные!D19),1)+FLOOR(ШДанные!$E$7/ШДанные!D19,1)+IF($R$3="01",0,FLOOR(ШДанные!$E$6/ШДанные!D19,1)),FLOOR((ШДанные!$E$8-ШДанные!$J$27*ШДанные!$E$13)/ШДанные!D20,1))+F20</f>
        <v>20</v>
      </c>
      <c r="I20" s="286">
        <f>IF($R$3="01",SUM(I18:I19),SUM(I17:I19))</f>
        <v>0</v>
      </c>
      <c r="J20" s="287" t="s">
        <v>457</v>
      </c>
      <c r="K20" s="288">
        <f>MIN(FLOOR(((ШДанные!$E$8-ШДанные!$J$27*ШДанные!$E$13)-ШДанные!E20*(FLOOR(ШДанные!$E$7/ШДанные!E19,1)+IF($R$3="01",0,FLOOR(ШДанные!$E$6/ШДанные!E19,1))))/(ШДанные!E20+ШДанные!E19),1)+FLOOR(ШДанные!$E$7/ШДанные!E19,1)+IF($R$3="01",0,FLOOR(ШДанные!$E$6/ШДанные!E19,1)),FLOOR((ШДанные!$E$8-ШДанные!$J$27*ШДанные!$E$13)/ШДанные!E20,1))+I20</f>
        <v>24</v>
      </c>
      <c r="L20" s="286">
        <f>IF($R$3="01",SUM(L18:L19),SUM(L17:L19))</f>
        <v>0</v>
      </c>
      <c r="M20" s="287" t="s">
        <v>457</v>
      </c>
      <c r="N20" s="288">
        <f>MIN(FLOOR(((ШДанные!$E$8-ШДанные!$J$27*ШДанные!$E$13)-ШДанные!F20*(FLOOR(ШДанные!$E$7/ШДанные!F19,1)+IF($R$3="01",0,FLOOR(ШДанные!$E$6/ШДанные!F19,1))))/(ШДанные!F20+ШДанные!F19),1)+FLOOR(ШДанные!$E$7/ШДанные!F19,1)+IF($R$3="01",0,FLOOR(ШДанные!$E$6/ШДанные!F19,1)),FLOOR((ШДанные!$E$8-ШДанные!$J$27*ШДанные!$E$13)/ШДанные!F20,1))+L20</f>
        <v>20</v>
      </c>
      <c r="O20" s="286">
        <f>IF($R$3="01",SUM(O18:O19),SUM(O17:O19))</f>
        <v>0</v>
      </c>
      <c r="P20" s="287" t="s">
        <v>457</v>
      </c>
      <c r="Q20" s="288">
        <f>MIN(FLOOR(((ШДанные!$E$8-ШДанные!$J$27*ШДанные!$E$13)-ШДанные!G20*(FLOOR(ШДанные!$E$7/ШДанные!G19,1)+IF($R$3="01",0,FLOOR(ШДанные!$E$6/ШДанные!G19,1))))/(ШДанные!G20+ШДанные!G19),1)+FLOOR(ШДанные!$E$7/ШДанные!G19,1)+IF($R$3="01",0,FLOOR(ШДанные!$E$6/ШДанные!G19,1)),FLOOR((ШДанные!$E$8-ШДанные!$J$27*ШДанные!$E$13)/ШДанные!G20,1))+O20</f>
        <v>12</v>
      </c>
      <c r="R20" s="286">
        <f>IF($R$3="01",SUM(R18:R19),SUM(R17:R19))</f>
        <v>0</v>
      </c>
      <c r="S20" s="287" t="s">
        <v>457</v>
      </c>
      <c r="T20" s="288">
        <f>MIN(FLOOR(((ШДанные!$E$8-ШДанные!$J$27*ШДанные!$E$13)-ШДанные!H20*(FLOOR(ШДанные!$E$7/ШДанные!H19,1)+IF($R$3="01",0,FLOOR(ШДанные!$E$6/ШДанные!H19,1))))/(ШДанные!H20+ШДанные!H19),1)+FLOOR(ШДанные!$E$7/ШДанные!H19,1)+IF($R$3="01",0,FLOOR(ШДанные!$E$6/ШДанные!H19,1)),FLOOR((ШДанные!$E$8-ШДанные!$J$27*ШДанные!$E$13)/ШДанные!H20,1))+R20</f>
        <v>24</v>
      </c>
      <c r="U20" s="243"/>
      <c r="V20" s="246"/>
      <c r="W20" s="244"/>
      <c r="X20" s="3"/>
      <c r="Y20" s="3"/>
      <c r="Z20" s="3"/>
      <c r="AA20" s="46"/>
      <c r="AB20" s="289"/>
      <c r="AC20" s="19"/>
      <c r="AD20" s="442" t="s">
        <v>803</v>
      </c>
      <c r="AE20" s="442"/>
      <c r="AF20" s="442"/>
      <c r="AG20" s="442"/>
      <c r="AH20" s="442"/>
      <c r="AI20" s="442"/>
      <c r="AJ20" s="1"/>
      <c r="AK20" s="1"/>
    </row>
    <row r="21" spans="1:37" x14ac:dyDescent="0.25">
      <c r="A21" s="1"/>
      <c r="B21" s="272"/>
      <c r="C21" s="273"/>
      <c r="D21" s="246"/>
      <c r="E21" s="273"/>
      <c r="F21" s="273"/>
      <c r="G21" s="246"/>
      <c r="H21" s="273"/>
      <c r="I21" s="273"/>
      <c r="J21" s="246"/>
      <c r="K21" s="273"/>
      <c r="L21" s="273"/>
      <c r="M21" s="246"/>
      <c r="N21" s="273"/>
      <c r="O21" s="273"/>
      <c r="P21" s="246"/>
      <c r="Q21" s="273"/>
      <c r="R21" s="273"/>
      <c r="S21" s="246"/>
      <c r="T21" s="273"/>
      <c r="U21" s="273"/>
      <c r="V21" s="246"/>
      <c r="W21" s="273"/>
      <c r="X21" s="3"/>
      <c r="Y21" s="3"/>
      <c r="Z21" s="3"/>
      <c r="AA21" s="46"/>
      <c r="AB21" s="290"/>
      <c r="AC21" s="291"/>
      <c r="AD21" s="442" t="s">
        <v>804</v>
      </c>
      <c r="AE21" s="442"/>
      <c r="AF21" s="442"/>
      <c r="AG21" s="442"/>
      <c r="AH21" s="442"/>
      <c r="AI21" s="442"/>
      <c r="AJ21" s="1"/>
      <c r="AK21" s="1"/>
    </row>
    <row r="22" spans="1:37" ht="16.5" thickBot="1" x14ac:dyDescent="0.3">
      <c r="A22" s="1"/>
      <c r="B22" s="274" t="s">
        <v>468</v>
      </c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6"/>
      <c r="T22" s="273"/>
      <c r="U22" s="273"/>
      <c r="V22" s="246"/>
      <c r="W22" s="273"/>
      <c r="X22" s="3"/>
      <c r="Y22" s="3"/>
      <c r="Z22" s="3"/>
      <c r="AA22" s="3"/>
      <c r="AB22" s="292"/>
      <c r="AC22" s="293"/>
      <c r="AD22" s="442" t="s">
        <v>830</v>
      </c>
      <c r="AE22" s="442"/>
      <c r="AF22" s="442"/>
      <c r="AG22" s="442"/>
      <c r="AH22" s="442"/>
      <c r="AI22" s="442"/>
      <c r="AJ22" s="1"/>
      <c r="AK22" s="1"/>
    </row>
    <row r="23" spans="1:37" ht="15" customHeight="1" x14ac:dyDescent="0.25">
      <c r="A23" s="1"/>
      <c r="B23" s="294" t="s">
        <v>469</v>
      </c>
      <c r="C23" s="408" t="s">
        <v>447</v>
      </c>
      <c r="D23" s="409"/>
      <c r="E23" s="410"/>
      <c r="F23" s="408" t="s">
        <v>448</v>
      </c>
      <c r="G23" s="409"/>
      <c r="H23" s="410"/>
      <c r="I23" s="408" t="s">
        <v>449</v>
      </c>
      <c r="J23" s="409"/>
      <c r="K23" s="410"/>
      <c r="L23" s="408" t="s">
        <v>450</v>
      </c>
      <c r="M23" s="409"/>
      <c r="N23" s="410"/>
      <c r="O23" s="408" t="s">
        <v>451</v>
      </c>
      <c r="P23" s="409"/>
      <c r="Q23" s="410"/>
      <c r="R23" s="408" t="s">
        <v>452</v>
      </c>
      <c r="S23" s="409"/>
      <c r="T23" s="410"/>
      <c r="U23" s="411" t="s">
        <v>453</v>
      </c>
      <c r="V23" s="412"/>
      <c r="W23" s="413"/>
      <c r="X23" s="408" t="s">
        <v>470</v>
      </c>
      <c r="Y23" s="409"/>
      <c r="Z23" s="410"/>
      <c r="AA23" s="3"/>
      <c r="AB23" s="295"/>
      <c r="AC23" s="296"/>
      <c r="AD23" s="442" t="s">
        <v>805</v>
      </c>
      <c r="AE23" s="442"/>
      <c r="AF23" s="442"/>
      <c r="AG23" s="442"/>
      <c r="AH23" s="442"/>
      <c r="AI23" s="442"/>
      <c r="AJ23" s="1"/>
      <c r="AK23" s="1"/>
    </row>
    <row r="24" spans="1:37" x14ac:dyDescent="0.25">
      <c r="A24" s="1"/>
      <c r="B24" s="297" t="s">
        <v>471</v>
      </c>
      <c r="C24" s="418">
        <f>C11</f>
        <v>0</v>
      </c>
      <c r="D24" s="419"/>
      <c r="E24" s="420"/>
      <c r="F24" s="418">
        <f>F11</f>
        <v>0</v>
      </c>
      <c r="G24" s="419"/>
      <c r="H24" s="420"/>
      <c r="I24" s="418">
        <f>I11</f>
        <v>0</v>
      </c>
      <c r="J24" s="419"/>
      <c r="K24" s="420"/>
      <c r="L24" s="418">
        <f>L11</f>
        <v>0</v>
      </c>
      <c r="M24" s="419"/>
      <c r="N24" s="420"/>
      <c r="O24" s="418">
        <f>O11</f>
        <v>0</v>
      </c>
      <c r="P24" s="419"/>
      <c r="Q24" s="420"/>
      <c r="R24" s="418">
        <f>R11</f>
        <v>0</v>
      </c>
      <c r="S24" s="419"/>
      <c r="T24" s="420"/>
      <c r="U24" s="418">
        <f>U11</f>
        <v>1</v>
      </c>
      <c r="V24" s="419"/>
      <c r="W24" s="420"/>
      <c r="X24" s="418">
        <v>1</v>
      </c>
      <c r="Y24" s="419"/>
      <c r="Z24" s="420"/>
      <c r="AA24" s="46"/>
      <c r="AB24" s="298"/>
      <c r="AC24" s="299"/>
      <c r="AD24" s="442" t="s">
        <v>806</v>
      </c>
      <c r="AE24" s="442"/>
      <c r="AF24" s="442"/>
      <c r="AG24" s="442"/>
      <c r="AH24" s="442"/>
      <c r="AI24" s="442"/>
      <c r="AJ24" s="1"/>
      <c r="AK24" s="1"/>
    </row>
    <row r="25" spans="1:37" ht="28.5" x14ac:dyDescent="0.25">
      <c r="A25" s="1"/>
      <c r="B25" s="300" t="s">
        <v>472</v>
      </c>
      <c r="C25" s="301" t="s">
        <v>473</v>
      </c>
      <c r="D25" s="302" t="s">
        <v>457</v>
      </c>
      <c r="E25" s="303" t="s">
        <v>474</v>
      </c>
      <c r="F25" s="301" t="s">
        <v>475</v>
      </c>
      <c r="G25" s="302" t="s">
        <v>457</v>
      </c>
      <c r="H25" s="303" t="s">
        <v>476</v>
      </c>
      <c r="I25" s="301" t="s">
        <v>475</v>
      </c>
      <c r="J25" s="302" t="s">
        <v>457</v>
      </c>
      <c r="K25" s="303" t="s">
        <v>476</v>
      </c>
      <c r="L25" s="301" t="s">
        <v>475</v>
      </c>
      <c r="M25" s="302" t="s">
        <v>457</v>
      </c>
      <c r="N25" s="303" t="s">
        <v>476</v>
      </c>
      <c r="O25" s="301" t="s">
        <v>475</v>
      </c>
      <c r="P25" s="302" t="s">
        <v>457</v>
      </c>
      <c r="Q25" s="303" t="s">
        <v>476</v>
      </c>
      <c r="R25" s="301" t="s">
        <v>475</v>
      </c>
      <c r="S25" s="302" t="s">
        <v>457</v>
      </c>
      <c r="T25" s="303" t="s">
        <v>476</v>
      </c>
      <c r="U25" s="301" t="s">
        <v>475</v>
      </c>
      <c r="V25" s="302" t="s">
        <v>457</v>
      </c>
      <c r="W25" s="303" t="s">
        <v>476</v>
      </c>
      <c r="X25" s="301" t="s">
        <v>475</v>
      </c>
      <c r="Y25" s="302" t="s">
        <v>457</v>
      </c>
      <c r="Z25" s="303" t="s">
        <v>476</v>
      </c>
      <c r="AA25" s="3"/>
      <c r="AB25" s="3"/>
      <c r="AC25" s="3"/>
      <c r="AD25" s="3"/>
      <c r="AE25" s="3"/>
      <c r="AF25" s="3"/>
      <c r="AG25" s="3"/>
      <c r="AH25" s="3"/>
      <c r="AI25" s="3"/>
      <c r="AJ25" s="1"/>
      <c r="AK25" s="1"/>
    </row>
    <row r="26" spans="1:37" x14ac:dyDescent="0.25">
      <c r="A26" s="1"/>
      <c r="B26" s="304" t="s">
        <v>477</v>
      </c>
      <c r="C26" s="305">
        <f>IF(C12&lt;&gt;ШДанные!B40,VLOOKUP(C12,ШДанные!B36:F39,4,FALSE),"см. л.6")</f>
        <v>103</v>
      </c>
      <c r="D26" s="258" t="s">
        <v>457</v>
      </c>
      <c r="E26" s="306">
        <f>IF(C12&lt;&gt;ШДанные!B40,VLOOKUP(C12,ШДанные!B36:F39,5,FALSE),"см. л.6")</f>
        <v>256</v>
      </c>
      <c r="F26" s="305">
        <f>IF(F12&lt;&gt;ШДанные!B46,VLOOKUP(F12,ШДанные!B44:F45,4,FALSE),"см. л.6")</f>
        <v>95</v>
      </c>
      <c r="G26" s="258" t="s">
        <v>457</v>
      </c>
      <c r="H26" s="306">
        <f>IF(F12&lt;&gt;ШДанные!B46,VLOOKUP(F12,ШДанные!B44:F45,5,FALSE),"см. л.6")</f>
        <v>220</v>
      </c>
      <c r="I26" s="307">
        <f>IF(I11=0,МДанные!E68,IF(I11=1,'2. СФ-МАШ-4 №1'!D74,"Разные"))</f>
        <v>86</v>
      </c>
      <c r="J26" s="258" t="s">
        <v>457</v>
      </c>
      <c r="K26" s="308">
        <f>IF(I11=0,МДанные!E68,IF(I11=1,'2. СФ-МАШ-4 №1'!D75,"Разные"))</f>
        <v>86</v>
      </c>
      <c r="L26" s="305">
        <f>ШДанные!B87</f>
        <v>20</v>
      </c>
      <c r="M26" s="258" t="s">
        <v>457</v>
      </c>
      <c r="N26" s="306">
        <f>ШДанные!B88</f>
        <v>88</v>
      </c>
      <c r="O26" s="305">
        <f>ШДанные!B93</f>
        <v>44</v>
      </c>
      <c r="P26" s="258" t="s">
        <v>457</v>
      </c>
      <c r="Q26" s="306">
        <f>ШДанные!B94</f>
        <v>149</v>
      </c>
      <c r="R26" s="309">
        <v>59</v>
      </c>
      <c r="S26" s="258" t="s">
        <v>457</v>
      </c>
      <c r="T26" s="259">
        <v>59</v>
      </c>
      <c r="U26" s="309">
        <v>40</v>
      </c>
      <c r="V26" s="258" t="s">
        <v>457</v>
      </c>
      <c r="W26" s="259">
        <v>40</v>
      </c>
      <c r="X26" s="309">
        <v>106</v>
      </c>
      <c r="Y26" s="258" t="s">
        <v>457</v>
      </c>
      <c r="Z26" s="259">
        <v>106</v>
      </c>
      <c r="AA26" s="3"/>
      <c r="AB26" s="3"/>
      <c r="AC26" s="3"/>
      <c r="AD26" s="3"/>
      <c r="AE26" s="3"/>
      <c r="AF26" s="3"/>
      <c r="AG26" s="3"/>
      <c r="AH26" s="3"/>
      <c r="AI26" s="3"/>
      <c r="AJ26" s="1"/>
      <c r="AK26" s="1"/>
    </row>
    <row r="27" spans="1:37" ht="15.75" thickBot="1" x14ac:dyDescent="0.3">
      <c r="A27" s="1"/>
      <c r="B27" s="310" t="s">
        <v>478</v>
      </c>
      <c r="C27" s="311">
        <f>IF(C12&lt;&gt;ШДанные!B46,C26*C11,ДДанные!T8)</f>
        <v>0</v>
      </c>
      <c r="D27" s="312" t="s">
        <v>457</v>
      </c>
      <c r="E27" s="313">
        <f>IF(C12&lt;&gt;ШДанные!B46,E26*C11,ДДанные!T9)</f>
        <v>0</v>
      </c>
      <c r="F27" s="311">
        <f>IF(F12&lt;&gt;ШДанные!B46,F26*F11,ДДанные!T20)</f>
        <v>0</v>
      </c>
      <c r="G27" s="314" t="s">
        <v>457</v>
      </c>
      <c r="H27" s="313">
        <f>IF(F12&lt;&gt;ШДанные!B46,H26*F11,ДДанные!T21)</f>
        <v>0</v>
      </c>
      <c r="I27" s="315">
        <f>МДанные!D161*ШДанные!B99+МДанные!D179*ШДанные!B100+МДанные!D197*ШДанные!B101+МДанные!D215*ШДанные!B102</f>
        <v>0</v>
      </c>
      <c r="J27" s="314" t="s">
        <v>457</v>
      </c>
      <c r="K27" s="316">
        <f>МДанные!D161*ШДанные!D99+МДанные!D179*ШДанные!D100+МДанные!D197*ШДанные!D101+МДанные!D215*ШДанные!D102</f>
        <v>0</v>
      </c>
      <c r="L27" s="315">
        <f>L11*ШДанные!B87</f>
        <v>0</v>
      </c>
      <c r="M27" s="314" t="s">
        <v>457</v>
      </c>
      <c r="N27" s="316">
        <f>IF(L12=0,N26*L11,IF(L12&lt;=L11*4,L27+L12*ШДанные!B89,N26*L11))</f>
        <v>0</v>
      </c>
      <c r="O27" s="315">
        <f>O11*ШДанные!B93</f>
        <v>0</v>
      </c>
      <c r="P27" s="314" t="s">
        <v>457</v>
      </c>
      <c r="Q27" s="316">
        <f>IF(O12=0,Q26*O11,IF(O12&lt;=O11*4,O27+O12*ШДанные!B95,Q26*O11))</f>
        <v>0</v>
      </c>
      <c r="R27" s="317">
        <f>R26*R11</f>
        <v>0</v>
      </c>
      <c r="S27" s="314" t="s">
        <v>457</v>
      </c>
      <c r="T27" s="318">
        <f>T26*R11</f>
        <v>0</v>
      </c>
      <c r="U27" s="317">
        <f>U26*U24</f>
        <v>40</v>
      </c>
      <c r="V27" s="314" t="s">
        <v>457</v>
      </c>
      <c r="W27" s="318">
        <f>W26*U24</f>
        <v>40</v>
      </c>
      <c r="X27" s="317">
        <f>X26*X24</f>
        <v>106</v>
      </c>
      <c r="Y27" s="314" t="s">
        <v>457</v>
      </c>
      <c r="Z27" s="318">
        <f>Z26*X24</f>
        <v>106</v>
      </c>
      <c r="AA27" s="3"/>
      <c r="AB27" s="3"/>
      <c r="AC27" s="3"/>
      <c r="AD27" s="3"/>
      <c r="AE27" s="3"/>
      <c r="AF27" s="3"/>
      <c r="AG27" s="3"/>
      <c r="AH27" s="3"/>
      <c r="AI27" s="3"/>
      <c r="AJ27" s="1"/>
      <c r="AK27" s="1"/>
    </row>
    <row r="28" spans="1:37" x14ac:dyDescent="0.25">
      <c r="A28" s="1"/>
      <c r="B28" s="272"/>
      <c r="C28" s="273"/>
      <c r="D28" s="246"/>
      <c r="E28" s="273"/>
      <c r="F28" s="273"/>
      <c r="G28" s="246"/>
      <c r="H28" s="273"/>
      <c r="I28" s="273"/>
      <c r="J28" s="246"/>
      <c r="K28" s="273"/>
      <c r="L28" s="273"/>
      <c r="M28" s="246"/>
      <c r="N28" s="273"/>
      <c r="O28" s="273"/>
      <c r="P28" s="246"/>
      <c r="Q28" s="273"/>
      <c r="R28" s="273"/>
      <c r="S28" s="246"/>
      <c r="T28" s="273"/>
      <c r="U28" s="273"/>
      <c r="V28" s="246"/>
      <c r="W28" s="27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1"/>
      <c r="AK28" s="1"/>
    </row>
    <row r="29" spans="1:37" ht="16.5" thickBot="1" x14ac:dyDescent="0.3">
      <c r="A29" s="1"/>
      <c r="B29" s="274" t="s">
        <v>479</v>
      </c>
      <c r="C29" s="273"/>
      <c r="D29" s="246"/>
      <c r="E29" s="273"/>
      <c r="F29" s="273"/>
      <c r="G29" s="246"/>
      <c r="H29" s="273"/>
      <c r="I29" s="273"/>
      <c r="J29" s="246"/>
      <c r="K29" s="273"/>
      <c r="L29" s="273"/>
      <c r="M29" s="246"/>
      <c r="N29" s="273"/>
      <c r="O29" s="273"/>
      <c r="P29" s="246"/>
      <c r="Q29" s="273"/>
      <c r="R29" s="273"/>
      <c r="S29" s="246"/>
      <c r="T29" s="273"/>
      <c r="U29" s="273"/>
      <c r="V29" s="246"/>
      <c r="W29" s="27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1"/>
      <c r="AK29" s="1"/>
    </row>
    <row r="30" spans="1:37" ht="31.5" customHeight="1" thickBot="1" x14ac:dyDescent="0.3">
      <c r="A30" s="1"/>
      <c r="B30" s="319"/>
      <c r="C30" s="421" t="s">
        <v>480</v>
      </c>
      <c r="D30" s="422"/>
      <c r="E30" s="423"/>
      <c r="F30" s="424" t="s">
        <v>481</v>
      </c>
      <c r="G30" s="425"/>
      <c r="H30" s="426"/>
      <c r="I30" s="273"/>
      <c r="J30" s="246"/>
      <c r="K30" s="273"/>
      <c r="L30" s="273"/>
      <c r="M30" s="246"/>
      <c r="N30" s="273"/>
      <c r="O30" s="3"/>
      <c r="P30" s="3"/>
      <c r="Q30" s="3"/>
      <c r="R30" s="3"/>
      <c r="S30" s="246"/>
      <c r="T30" s="273"/>
      <c r="U30" s="273"/>
      <c r="V30" s="246"/>
      <c r="W30" s="27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1"/>
      <c r="AK30" s="1"/>
    </row>
    <row r="31" spans="1:37" ht="28.5" x14ac:dyDescent="0.25">
      <c r="A31" s="1"/>
      <c r="B31" s="320" t="s">
        <v>472</v>
      </c>
      <c r="C31" s="301" t="s">
        <v>473</v>
      </c>
      <c r="D31" s="302" t="s">
        <v>457</v>
      </c>
      <c r="E31" s="303" t="s">
        <v>474</v>
      </c>
      <c r="F31" s="301" t="s">
        <v>473</v>
      </c>
      <c r="G31" s="302" t="s">
        <v>457</v>
      </c>
      <c r="H31" s="303" t="s">
        <v>474</v>
      </c>
      <c r="I31" s="273"/>
      <c r="J31" s="246"/>
      <c r="K31" s="273"/>
      <c r="L31" s="273"/>
      <c r="M31" s="246"/>
      <c r="N31" s="273"/>
      <c r="O31" s="3"/>
      <c r="P31" s="3"/>
      <c r="Q31" s="3"/>
      <c r="R31" s="273"/>
      <c r="S31" s="3"/>
      <c r="T31" s="3"/>
      <c r="U31" s="3"/>
      <c r="V31" s="3"/>
      <c r="W31" s="3"/>
      <c r="X31" s="3"/>
      <c r="Y31" s="321"/>
      <c r="Z31" s="322"/>
      <c r="AA31" s="273"/>
      <c r="AB31" s="46"/>
      <c r="AC31" s="46"/>
      <c r="AD31" s="46"/>
      <c r="AE31" s="46"/>
      <c r="AF31" s="46"/>
      <c r="AG31" s="3"/>
      <c r="AH31" s="3"/>
      <c r="AI31" s="3"/>
      <c r="AJ31" s="1"/>
      <c r="AK31" s="1"/>
    </row>
    <row r="32" spans="1:37" x14ac:dyDescent="0.25">
      <c r="A32" s="1"/>
      <c r="B32" s="304" t="s">
        <v>477</v>
      </c>
      <c r="C32" s="427"/>
      <c r="D32" s="428"/>
      <c r="E32" s="429"/>
      <c r="F32" s="323">
        <f>IF(F34=ШДанные!B57,МДанные!D87,IF(AND(F34=ШДанные!B58,R20&gt;0),МДанные!D87,0))</f>
        <v>0</v>
      </c>
      <c r="G32" s="277" t="s">
        <v>457</v>
      </c>
      <c r="H32" s="324">
        <f>IF(F34=ШДанные!B57,МДанные!E87,IF(AND(F34=ШДанные!B58,R20&gt;0),МДанные!E87,0))</f>
        <v>0</v>
      </c>
      <c r="I32" s="273"/>
      <c r="J32" s="246"/>
      <c r="K32" s="273"/>
      <c r="L32" s="273"/>
      <c r="M32" s="246"/>
      <c r="N32" s="273"/>
      <c r="O32" s="3"/>
      <c r="P32" s="3"/>
      <c r="Q32" s="3"/>
      <c r="R32" s="273"/>
      <c r="S32" s="3"/>
      <c r="T32" s="3"/>
      <c r="U32" s="3"/>
      <c r="V32" s="3"/>
      <c r="W32" s="3"/>
      <c r="X32" s="3"/>
      <c r="Y32" s="273"/>
      <c r="Z32" s="325"/>
      <c r="AA32" s="273"/>
      <c r="AB32" s="46"/>
      <c r="AC32" s="46"/>
      <c r="AD32" s="46"/>
      <c r="AE32" s="46"/>
      <c r="AF32" s="46"/>
      <c r="AG32" s="3"/>
      <c r="AH32" s="3"/>
      <c r="AI32" s="3"/>
      <c r="AJ32" s="1"/>
      <c r="AK32" s="1"/>
    </row>
    <row r="33" spans="1:37" x14ac:dyDescent="0.25">
      <c r="A33" s="1"/>
      <c r="B33" s="326" t="s">
        <v>478</v>
      </c>
      <c r="C33" s="276">
        <v>0</v>
      </c>
      <c r="D33" s="278" t="s">
        <v>457</v>
      </c>
      <c r="E33" s="327">
        <v>0</v>
      </c>
      <c r="F33" s="328">
        <f>F32*(($F34=ШДанные!$B$58)*H35+($F34=ШДанные!$B$57)*IF($F35=0,$H35,IF(AND($F35&gt;0,$F35&lt;=$R20),$R20,IF($F35&gt;$H35,$H35,$F35))))</f>
        <v>0</v>
      </c>
      <c r="G33" s="278" t="s">
        <v>457</v>
      </c>
      <c r="H33" s="329">
        <f>H32*(($F34=ШДанные!$B$58)*H35+($F34=ШДанные!$B$57)*IF($F35=0,$H35,IF(AND($F35&gt;0,$F35&lt;=$R20),$R20,IF($F35&gt;$H35,$H35,$F35))))</f>
        <v>0</v>
      </c>
      <c r="I33" s="273"/>
      <c r="J33" s="246"/>
      <c r="K33" s="273"/>
      <c r="L33" s="273"/>
      <c r="M33" s="246"/>
      <c r="N33" s="273"/>
      <c r="O33" s="3"/>
      <c r="P33" s="3"/>
      <c r="Q33" s="3"/>
      <c r="R33" s="273"/>
      <c r="S33" s="3"/>
      <c r="T33" s="3"/>
      <c r="U33" s="3"/>
      <c r="V33" s="3"/>
      <c r="W33" s="3"/>
      <c r="X33" s="46"/>
      <c r="Y33" s="273"/>
      <c r="Z33" s="325"/>
      <c r="AA33" s="273"/>
      <c r="AB33" s="46"/>
      <c r="AC33" s="46"/>
      <c r="AD33" s="46"/>
      <c r="AE33" s="46"/>
      <c r="AF33" s="46"/>
      <c r="AG33" s="3"/>
      <c r="AH33" s="3"/>
      <c r="AI33" s="3"/>
      <c r="AJ33" s="1"/>
      <c r="AK33" s="1"/>
    </row>
    <row r="34" spans="1:37" ht="15.75" thickBot="1" x14ac:dyDescent="0.3">
      <c r="A34" s="1"/>
      <c r="B34" s="330" t="s">
        <v>482</v>
      </c>
      <c r="C34" s="414" t="s">
        <v>530</v>
      </c>
      <c r="D34" s="415"/>
      <c r="E34" s="416"/>
      <c r="F34" s="414" t="s">
        <v>535</v>
      </c>
      <c r="G34" s="415"/>
      <c r="H34" s="417"/>
      <c r="I34" s="273"/>
      <c r="J34" s="246"/>
      <c r="K34" s="273"/>
      <c r="L34" s="273"/>
      <c r="M34" s="246"/>
      <c r="N34" s="273"/>
      <c r="O34" s="3"/>
      <c r="P34" s="3"/>
      <c r="Q34" s="3"/>
      <c r="R34" s="273"/>
      <c r="S34" s="3"/>
      <c r="T34" s="3"/>
      <c r="U34" s="3"/>
      <c r="V34" s="3"/>
      <c r="W34" s="3"/>
      <c r="X34" s="46"/>
      <c r="Y34" s="273"/>
      <c r="Z34" s="46"/>
      <c r="AA34" s="273"/>
      <c r="AB34" s="46"/>
      <c r="AC34" s="46"/>
      <c r="AD34" s="46"/>
      <c r="AE34" s="46"/>
      <c r="AF34" s="46"/>
      <c r="AG34" s="3"/>
      <c r="AH34" s="3"/>
      <c r="AI34" s="3"/>
      <c r="AJ34" s="1"/>
      <c r="AK34" s="1"/>
    </row>
    <row r="35" spans="1:37" ht="16.5" thickTop="1" thickBot="1" x14ac:dyDescent="0.3">
      <c r="A35" s="1"/>
      <c r="B35" s="331" t="s">
        <v>485</v>
      </c>
      <c r="C35" s="399"/>
      <c r="D35" s="400"/>
      <c r="E35" s="401"/>
      <c r="F35" s="332">
        <v>0</v>
      </c>
      <c r="G35" s="333" t="s">
        <v>457</v>
      </c>
      <c r="H35" s="334">
        <f>IF(F34=ШДанные!B57,MAX(ШДанные!H22,R20),(R20&gt;0)*R20)</f>
        <v>0</v>
      </c>
      <c r="I35" s="273"/>
      <c r="J35" s="246"/>
      <c r="K35" s="273"/>
      <c r="L35" s="273"/>
      <c r="M35" s="246"/>
      <c r="N35" s="335"/>
      <c r="O35" s="3"/>
      <c r="P35" s="3"/>
      <c r="Q35" s="3"/>
      <c r="R35" s="273"/>
      <c r="S35" s="3"/>
      <c r="T35" s="3"/>
      <c r="U35" s="3"/>
      <c r="V35" s="3"/>
      <c r="W35" s="3"/>
      <c r="X35" s="46"/>
      <c r="Y35" s="3"/>
      <c r="Z35" s="325"/>
      <c r="AA35" s="46"/>
      <c r="AB35" s="46"/>
      <c r="AC35" s="46"/>
      <c r="AD35" s="46"/>
      <c r="AE35" s="46"/>
      <c r="AF35" s="46"/>
      <c r="AG35" s="3"/>
      <c r="AH35" s="3"/>
      <c r="AI35" s="3"/>
      <c r="AJ35" s="1"/>
      <c r="AK35" s="1"/>
    </row>
    <row r="36" spans="1:37" x14ac:dyDescent="0.25">
      <c r="A36" s="1"/>
      <c r="B36" s="336" t="str">
        <f>IF(ШДанные!B64,ШДанные!C64,IF(ШДанные!B63,ШДанные!C63,IF(ШДанные!B62,ШДанные!C62,"")))</f>
        <v/>
      </c>
      <c r="C36" s="273"/>
      <c r="D36" s="246"/>
      <c r="E36" s="273"/>
      <c r="F36" s="273"/>
      <c r="G36" s="246"/>
      <c r="H36" s="273"/>
      <c r="I36" s="273"/>
      <c r="J36" s="246"/>
      <c r="K36" s="273"/>
      <c r="L36" s="273"/>
      <c r="M36" s="246"/>
      <c r="N36" s="335"/>
      <c r="O36" s="3"/>
      <c r="P36" s="3"/>
      <c r="Q36" s="3"/>
      <c r="R36" s="335"/>
      <c r="S36" s="3"/>
      <c r="T36" s="3"/>
      <c r="U36" s="3"/>
      <c r="V36" s="3"/>
      <c r="W36" s="3"/>
      <c r="X36" s="46"/>
      <c r="Y36" s="335"/>
      <c r="Z36" s="325"/>
      <c r="AA36" s="46"/>
      <c r="AB36" s="46"/>
      <c r="AC36" s="46"/>
      <c r="AD36" s="46"/>
      <c r="AE36" s="46"/>
      <c r="AF36" s="46"/>
      <c r="AG36" s="3"/>
      <c r="AH36" s="3"/>
      <c r="AI36" s="3"/>
      <c r="AJ36" s="1"/>
      <c r="AK36" s="1"/>
    </row>
    <row r="37" spans="1:37" x14ac:dyDescent="0.25">
      <c r="A37" s="1"/>
      <c r="B37" s="272"/>
      <c r="C37" s="273"/>
      <c r="D37" s="246"/>
      <c r="E37" s="273"/>
      <c r="F37" s="273"/>
      <c r="G37" s="246"/>
      <c r="H37" s="273"/>
      <c r="I37" s="273"/>
      <c r="J37" s="246"/>
      <c r="K37" s="273"/>
      <c r="L37" s="273"/>
      <c r="M37" s="246"/>
      <c r="N37" s="335"/>
      <c r="O37" s="3"/>
      <c r="P37" s="3"/>
      <c r="Q37" s="3"/>
      <c r="R37" s="335"/>
      <c r="S37" s="3"/>
      <c r="T37" s="3"/>
      <c r="U37" s="3"/>
      <c r="V37" s="3"/>
      <c r="W37" s="3"/>
      <c r="X37" s="46"/>
      <c r="Y37" s="335"/>
      <c r="Z37" s="325"/>
      <c r="AA37" s="46"/>
      <c r="AB37" s="46"/>
      <c r="AC37" s="46"/>
      <c r="AD37" s="46"/>
      <c r="AE37" s="46"/>
      <c r="AF37" s="46"/>
      <c r="AG37" s="3"/>
      <c r="AH37" s="3"/>
      <c r="AI37" s="3"/>
      <c r="AJ37" s="1"/>
      <c r="AK37" s="1"/>
    </row>
    <row r="38" spans="1:37" ht="16.5" thickBot="1" x14ac:dyDescent="0.3">
      <c r="A38" s="1"/>
      <c r="B38" s="274" t="s">
        <v>486</v>
      </c>
      <c r="C38" s="273"/>
      <c r="D38" s="246"/>
      <c r="E38" s="273"/>
      <c r="F38" s="273"/>
      <c r="G38" s="246"/>
      <c r="H38" s="273"/>
      <c r="I38" s="273"/>
      <c r="J38" s="246"/>
      <c r="K38" s="273"/>
      <c r="L38" s="273"/>
      <c r="M38" s="246"/>
      <c r="N38" s="335"/>
      <c r="O38" s="3"/>
      <c r="P38" s="3"/>
      <c r="Q38" s="3"/>
      <c r="R38" s="335"/>
      <c r="S38" s="3"/>
      <c r="T38" s="3"/>
      <c r="U38" s="3"/>
      <c r="V38" s="3"/>
      <c r="W38" s="3"/>
      <c r="X38" s="46"/>
      <c r="Y38" s="335"/>
      <c r="Z38" s="325"/>
      <c r="AA38" s="273"/>
      <c r="AB38" s="46"/>
      <c r="AC38" s="46"/>
      <c r="AD38" s="46"/>
      <c r="AE38" s="337"/>
      <c r="AF38" s="46"/>
      <c r="AG38" s="46"/>
      <c r="AH38" s="337"/>
      <c r="AI38" s="3"/>
      <c r="AJ38" s="1"/>
      <c r="AK38" s="1"/>
    </row>
    <row r="39" spans="1:37" ht="18" x14ac:dyDescent="0.25">
      <c r="A39" s="1"/>
      <c r="B39" s="402" t="s">
        <v>487</v>
      </c>
      <c r="C39" s="403"/>
      <c r="D39" s="403"/>
      <c r="E39" s="403"/>
      <c r="F39" s="403"/>
      <c r="G39" s="403"/>
      <c r="H39" s="403"/>
      <c r="I39" s="403"/>
      <c r="J39" s="403"/>
      <c r="K39" s="403"/>
      <c r="L39" s="338">
        <f>SUM(C27,F27,I27,L27,O27,R27,C33,F33,X27,U27)</f>
        <v>146</v>
      </c>
      <c r="M39" s="249"/>
      <c r="N39" s="335"/>
      <c r="O39" s="3"/>
      <c r="P39" s="3"/>
      <c r="Q39" s="3"/>
      <c r="R39" s="335"/>
      <c r="S39" s="3"/>
      <c r="T39" s="3"/>
      <c r="U39" s="3"/>
      <c r="V39" s="3"/>
      <c r="W39" s="3"/>
      <c r="X39" s="3"/>
      <c r="Y39" s="335"/>
      <c r="Z39" s="325"/>
      <c r="AA39" s="335"/>
      <c r="AB39" s="46"/>
      <c r="AC39" s="46"/>
      <c r="AD39" s="46"/>
      <c r="AE39" s="46"/>
      <c r="AF39" s="46"/>
      <c r="AG39" s="3"/>
      <c r="AH39" s="3"/>
      <c r="AI39" s="3"/>
      <c r="AJ39" s="1"/>
      <c r="AK39" s="1"/>
    </row>
    <row r="40" spans="1:37" ht="18" x14ac:dyDescent="0.25">
      <c r="A40" s="1"/>
      <c r="B40" s="404" t="s">
        <v>488</v>
      </c>
      <c r="C40" s="405"/>
      <c r="D40" s="405"/>
      <c r="E40" s="405"/>
      <c r="F40" s="405"/>
      <c r="G40" s="405"/>
      <c r="H40" s="405"/>
      <c r="I40" s="405"/>
      <c r="J40" s="405"/>
      <c r="K40" s="405"/>
      <c r="L40" s="339">
        <f>SUM(E27,H27,K27,N27,Q27,T27,E33,H33,Z27,W27)</f>
        <v>146</v>
      </c>
      <c r="M40" s="249"/>
      <c r="N40" s="335"/>
      <c r="O40" s="3"/>
      <c r="P40" s="3"/>
      <c r="Q40" s="3"/>
      <c r="R40" s="335"/>
      <c r="S40" s="3"/>
      <c r="T40" s="3"/>
      <c r="U40" s="3"/>
      <c r="V40" s="3"/>
      <c r="W40" s="3"/>
      <c r="X40" s="46"/>
      <c r="Y40" s="335"/>
      <c r="Z40" s="325"/>
      <c r="AA40" s="335"/>
      <c r="AB40" s="46"/>
      <c r="AC40" s="46"/>
      <c r="AD40" s="46"/>
      <c r="AE40" s="337"/>
      <c r="AF40" s="46"/>
      <c r="AG40" s="46"/>
      <c r="AH40" s="337"/>
      <c r="AI40" s="3"/>
      <c r="AJ40" s="1"/>
      <c r="AK40" s="1"/>
    </row>
    <row r="41" spans="1:37" ht="18.75" thickBot="1" x14ac:dyDescent="0.3">
      <c r="A41" s="1"/>
      <c r="B41" s="406" t="s">
        <v>489</v>
      </c>
      <c r="C41" s="407"/>
      <c r="D41" s="407"/>
      <c r="E41" s="407"/>
      <c r="F41" s="407"/>
      <c r="G41" s="407"/>
      <c r="H41" s="407"/>
      <c r="I41" s="407"/>
      <c r="J41" s="407"/>
      <c r="K41" s="407"/>
      <c r="L41" s="340">
        <f>CEILING((L39*24+L40*3)*1.25,10)/1000</f>
        <v>4.93</v>
      </c>
      <c r="M41" s="249"/>
      <c r="N41" s="335"/>
      <c r="O41" s="3"/>
      <c r="P41" s="3"/>
      <c r="Q41" s="3"/>
      <c r="R41" s="335"/>
      <c r="S41" s="3"/>
      <c r="T41" s="3"/>
      <c r="U41" s="3"/>
      <c r="V41" s="3"/>
      <c r="W41" s="3"/>
      <c r="X41" s="46"/>
      <c r="Y41" s="335"/>
      <c r="Z41" s="325"/>
      <c r="AA41" s="335"/>
      <c r="AB41" s="46"/>
      <c r="AC41" s="46"/>
      <c r="AD41" s="46"/>
      <c r="AE41" s="337"/>
      <c r="AF41" s="46"/>
      <c r="AG41" s="46"/>
      <c r="AH41" s="337"/>
      <c r="AI41" s="3"/>
      <c r="AJ41" s="1"/>
      <c r="AK41" s="1"/>
    </row>
    <row r="42" spans="1:37" x14ac:dyDescent="0.25">
      <c r="A42" s="1"/>
      <c r="B42" s="249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335"/>
      <c r="O42" s="3"/>
      <c r="P42" s="3"/>
      <c r="Q42" s="3"/>
      <c r="R42" s="335"/>
      <c r="S42" s="3"/>
      <c r="T42" s="3"/>
      <c r="U42" s="3"/>
      <c r="V42" s="3"/>
      <c r="W42" s="3"/>
      <c r="X42" s="46"/>
      <c r="Y42" s="335"/>
      <c r="Z42" s="325"/>
      <c r="AA42" s="335"/>
      <c r="AB42" s="46"/>
      <c r="AC42" s="46"/>
      <c r="AD42" s="46"/>
      <c r="AE42" s="337"/>
      <c r="AF42" s="46"/>
      <c r="AG42" s="46"/>
      <c r="AH42" s="337"/>
      <c r="AI42" s="3"/>
      <c r="AJ42" s="1"/>
      <c r="AK42" s="1"/>
    </row>
    <row r="43" spans="1:37" ht="16.5" thickBot="1" x14ac:dyDescent="0.3">
      <c r="A43" s="1"/>
      <c r="B43" s="250" t="s">
        <v>837</v>
      </c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249"/>
      <c r="P43" s="249"/>
      <c r="Q43" s="249"/>
      <c r="R43" s="249"/>
      <c r="S43" s="246"/>
      <c r="T43" s="273"/>
      <c r="U43" s="3"/>
      <c r="V43" s="3"/>
      <c r="W43" s="3"/>
      <c r="X43" s="46"/>
      <c r="Y43" s="273"/>
      <c r="Z43" s="325"/>
      <c r="AA43" s="335"/>
      <c r="AB43" s="46"/>
      <c r="AC43" s="46"/>
      <c r="AD43" s="46"/>
      <c r="AE43" s="337"/>
      <c r="AF43" s="46"/>
      <c r="AG43" s="46"/>
      <c r="AH43" s="337"/>
      <c r="AI43" s="3"/>
      <c r="AJ43" s="1"/>
      <c r="AK43" s="1"/>
    </row>
    <row r="44" spans="1:37" x14ac:dyDescent="0.25">
      <c r="A44" s="1"/>
      <c r="B44" s="388" t="s">
        <v>490</v>
      </c>
      <c r="C44" s="389"/>
      <c r="D44" s="389"/>
      <c r="E44" s="389"/>
      <c r="F44" s="389"/>
      <c r="G44" s="390"/>
      <c r="H44" s="242" t="s">
        <v>189</v>
      </c>
      <c r="I44" s="391" t="s">
        <v>491</v>
      </c>
      <c r="J44" s="392"/>
      <c r="K44" s="392"/>
      <c r="L44" s="392"/>
      <c r="M44" s="392"/>
      <c r="N44" s="392"/>
      <c r="O44" s="392"/>
      <c r="P44" s="341"/>
      <c r="Q44" s="342"/>
      <c r="R44" s="273"/>
      <c r="S44" s="246"/>
      <c r="T44" s="273"/>
      <c r="U44" s="3"/>
      <c r="V44" s="3"/>
      <c r="W44" s="3"/>
      <c r="X44" s="46"/>
      <c r="Y44" s="273"/>
      <c r="Z44" s="325"/>
      <c r="AA44" s="335"/>
      <c r="AB44" s="46"/>
      <c r="AC44" s="46"/>
      <c r="AD44" s="46"/>
      <c r="AE44" s="337"/>
      <c r="AF44" s="46"/>
      <c r="AG44" s="46"/>
      <c r="AH44" s="337"/>
      <c r="AI44" s="3"/>
      <c r="AJ44" s="1"/>
      <c r="AK44" s="1"/>
    </row>
    <row r="45" spans="1:37" ht="15.75" thickBot="1" x14ac:dyDescent="0.3">
      <c r="A45" s="1"/>
      <c r="B45" s="393" t="str">
        <f>IF(Q45=ШДанные!B76,"Рекомендуемое количество гермовводов","При этом задействовано гермовводов")</f>
        <v>Рекомендуемое количество гермовводов</v>
      </c>
      <c r="C45" s="394"/>
      <c r="D45" s="394"/>
      <c r="E45" s="394"/>
      <c r="F45" s="394"/>
      <c r="G45" s="395"/>
      <c r="H45" s="343">
        <f>IF(C12=ШДанные!B40,ДДанные!T13,C11*8)+IF(F12=ШДанные!B46,ДДанные!T25,F11*8)+I11*2+IF(AND(L11&gt;0,L12=0),L11*4,IF(L12&gt;L11*4,L11*4,L12))+IF(AND(O11&gt;0,O12=0),O11*4,IF(O12&gt;O11*4,O11*4,O12))+C20+F20+I20+L20*2+O20*3+R20+IF(C34=ШДанные!B52,1,IF(C34=ШДанные!B53,2,0))+2+(U11&gt;1)*(U11-1)*3+1+IF(H44=ШДанные!B82,1,0)+AND(OR(C33&gt;0,E33&gt;0),C34=ШДанные!B51)</f>
        <v>6</v>
      </c>
      <c r="I45" s="344" t="str">
        <f>IF(Q45=19,"из 19",IF(Q45=26,"из 26",""))</f>
        <v/>
      </c>
      <c r="J45" s="345"/>
      <c r="K45" s="396" t="s">
        <v>492</v>
      </c>
      <c r="L45" s="397"/>
      <c r="M45" s="397"/>
      <c r="N45" s="397"/>
      <c r="O45" s="397"/>
      <c r="P45" s="398"/>
      <c r="Q45" s="142" t="s">
        <v>224</v>
      </c>
      <c r="R45" s="273"/>
      <c r="S45" s="246"/>
      <c r="T45" s="273"/>
      <c r="U45" s="3"/>
      <c r="V45" s="3"/>
      <c r="W45" s="3"/>
      <c r="X45" s="46"/>
      <c r="Y45" s="273"/>
      <c r="Z45" s="3"/>
      <c r="AA45" s="3"/>
      <c r="AB45" s="3"/>
      <c r="AC45" s="46"/>
      <c r="AD45" s="46"/>
      <c r="AE45" s="337"/>
      <c r="AF45" s="46"/>
      <c r="AG45" s="46"/>
      <c r="AH45" s="337"/>
      <c r="AI45" s="3"/>
      <c r="AJ45" s="1"/>
      <c r="AK45" s="1"/>
    </row>
    <row r="46" spans="1:37" x14ac:dyDescent="0.25">
      <c r="A46" s="1"/>
      <c r="B46" s="346"/>
      <c r="C46" s="347"/>
      <c r="D46" s="348"/>
      <c r="E46" s="347"/>
      <c r="F46" s="347"/>
      <c r="G46" s="348"/>
      <c r="H46" s="347"/>
      <c r="I46" s="347"/>
      <c r="J46" s="348"/>
      <c r="K46" s="347"/>
      <c r="L46" s="347"/>
      <c r="M46" s="348"/>
      <c r="N46" s="347"/>
      <c r="O46" s="347"/>
      <c r="P46" s="348"/>
      <c r="Q46" s="347"/>
      <c r="R46" s="347"/>
      <c r="S46" s="348"/>
      <c r="T46" s="347"/>
      <c r="U46" s="347"/>
      <c r="V46" s="348"/>
      <c r="W46" s="347"/>
      <c r="X46" s="349"/>
      <c r="Y46" s="350"/>
      <c r="Z46" s="349"/>
      <c r="AA46" s="349"/>
      <c r="AB46" s="350"/>
      <c r="AC46" s="349"/>
      <c r="AD46" s="349"/>
      <c r="AE46" s="350"/>
      <c r="AF46" s="349"/>
      <c r="AG46" s="349"/>
      <c r="AH46" s="350"/>
      <c r="AI46" s="3"/>
      <c r="AJ46" s="1"/>
      <c r="AK46" s="1"/>
    </row>
    <row r="47" spans="1:37" ht="15.75" thickBot="1" x14ac:dyDescent="0.3">
      <c r="A47" s="1"/>
      <c r="B47" s="351" t="s">
        <v>720</v>
      </c>
      <c r="C47" s="347"/>
      <c r="D47" s="348"/>
      <c r="E47" s="347"/>
      <c r="F47" s="347"/>
      <c r="G47" s="348"/>
      <c r="H47" s="347"/>
      <c r="I47" s="347"/>
      <c r="J47" s="348"/>
      <c r="K47" s="347"/>
      <c r="L47" s="347"/>
      <c r="M47" s="348"/>
      <c r="N47" s="347"/>
      <c r="O47" s="347"/>
      <c r="P47" s="348"/>
      <c r="Q47" s="347"/>
      <c r="R47" s="347"/>
      <c r="S47" s="348"/>
      <c r="T47" s="347"/>
      <c r="U47" s="347"/>
      <c r="V47" s="348"/>
      <c r="W47" s="347"/>
      <c r="X47" s="349"/>
      <c r="Y47" s="350"/>
      <c r="Z47" s="349"/>
      <c r="AA47" s="349"/>
      <c r="AB47" s="350"/>
      <c r="AC47" s="349"/>
      <c r="AD47" s="349"/>
      <c r="AE47" s="350"/>
      <c r="AF47" s="349"/>
      <c r="AG47" s="349"/>
      <c r="AH47" s="350"/>
      <c r="AI47" s="3"/>
      <c r="AJ47" s="1"/>
      <c r="AK47" s="1"/>
    </row>
    <row r="48" spans="1:37" x14ac:dyDescent="0.25">
      <c r="A48" s="1"/>
      <c r="B48" s="352" t="s">
        <v>455</v>
      </c>
      <c r="C48" s="353" t="s">
        <v>698</v>
      </c>
      <c r="D48" s="354"/>
      <c r="E48" s="355" t="s">
        <v>462</v>
      </c>
      <c r="F48" s="347"/>
      <c r="G48" s="348"/>
      <c r="H48" s="347"/>
      <c r="I48" s="347"/>
      <c r="J48" s="348"/>
      <c r="K48" s="347"/>
      <c r="L48" s="347"/>
      <c r="M48" s="348"/>
      <c r="N48" s="347"/>
      <c r="O48" s="347"/>
      <c r="P48" s="348"/>
      <c r="Q48" s="347"/>
      <c r="R48" s="347"/>
      <c r="S48" s="348"/>
      <c r="T48" s="347"/>
      <c r="U48" s="347"/>
      <c r="V48" s="348"/>
      <c r="W48" s="347"/>
      <c r="X48" s="349"/>
      <c r="Y48" s="350"/>
      <c r="Z48" s="349"/>
      <c r="AA48" s="349"/>
      <c r="AB48" s="350"/>
      <c r="AC48" s="349"/>
      <c r="AD48" s="349"/>
      <c r="AE48" s="350"/>
      <c r="AF48" s="349"/>
      <c r="AG48" s="349"/>
      <c r="AH48" s="350"/>
      <c r="AI48" s="3"/>
      <c r="AJ48" s="1"/>
      <c r="AK48" s="1"/>
    </row>
    <row r="49" spans="1:37" x14ac:dyDescent="0.25">
      <c r="A49" s="1"/>
      <c r="B49" s="356" t="s">
        <v>459</v>
      </c>
      <c r="C49" s="357">
        <f>ШДанные!E6</f>
        <v>550</v>
      </c>
      <c r="D49" s="358" t="s">
        <v>457</v>
      </c>
      <c r="E49" s="359">
        <f>ШДанные!C6</f>
        <v>550</v>
      </c>
      <c r="F49" s="347"/>
      <c r="G49" s="348"/>
      <c r="H49" s="347"/>
      <c r="I49" s="347"/>
      <c r="J49" s="348"/>
      <c r="K49" s="347"/>
      <c r="L49" s="347"/>
      <c r="M49" s="348"/>
      <c r="N49" s="347"/>
      <c r="O49" s="347"/>
      <c r="P49" s="348"/>
      <c r="Q49" s="347"/>
      <c r="R49" s="347"/>
      <c r="S49" s="348"/>
      <c r="T49" s="347"/>
      <c r="U49" s="347"/>
      <c r="V49" s="348"/>
      <c r="W49" s="347"/>
      <c r="X49" s="349"/>
      <c r="Y49" s="350"/>
      <c r="Z49" s="349"/>
      <c r="AA49" s="349"/>
      <c r="AB49" s="350"/>
      <c r="AC49" s="349"/>
      <c r="AD49" s="349"/>
      <c r="AE49" s="350"/>
      <c r="AF49" s="349"/>
      <c r="AG49" s="349"/>
      <c r="AH49" s="350"/>
      <c r="AI49" s="3"/>
      <c r="AJ49" s="1"/>
      <c r="AK49" s="1"/>
    </row>
    <row r="50" spans="1:37" x14ac:dyDescent="0.25">
      <c r="A50" s="1"/>
      <c r="B50" s="360" t="s">
        <v>460</v>
      </c>
      <c r="C50" s="361">
        <f>ШДанные!E7</f>
        <v>550</v>
      </c>
      <c r="D50" s="362" t="s">
        <v>457</v>
      </c>
      <c r="E50" s="329">
        <f>ШДанные!C7</f>
        <v>550</v>
      </c>
      <c r="F50" s="347"/>
      <c r="G50" s="348"/>
      <c r="H50" s="347"/>
      <c r="I50" s="347"/>
      <c r="J50" s="348"/>
      <c r="K50" s="347"/>
      <c r="L50" s="347"/>
      <c r="M50" s="348"/>
      <c r="N50" s="347"/>
      <c r="O50" s="347"/>
      <c r="P50" s="348"/>
      <c r="Q50" s="347"/>
      <c r="R50" s="347"/>
      <c r="S50" s="348"/>
      <c r="T50" s="347"/>
      <c r="U50" s="347"/>
      <c r="V50" s="348"/>
      <c r="W50" s="347"/>
      <c r="X50" s="349"/>
      <c r="Y50" s="350"/>
      <c r="Z50" s="349"/>
      <c r="AA50" s="349"/>
      <c r="AB50" s="350"/>
      <c r="AC50" s="349"/>
      <c r="AD50" s="349"/>
      <c r="AE50" s="350"/>
      <c r="AF50" s="349"/>
      <c r="AG50" s="349"/>
      <c r="AH50" s="350"/>
      <c r="AI50" s="3"/>
      <c r="AJ50" s="1"/>
      <c r="AK50" s="1"/>
    </row>
    <row r="51" spans="1:37" ht="15.75" thickBot="1" x14ac:dyDescent="0.3">
      <c r="A51" s="1"/>
      <c r="B51" s="363" t="s">
        <v>461</v>
      </c>
      <c r="C51" s="364">
        <f>ШДанные!E8</f>
        <v>417</v>
      </c>
      <c r="D51" s="365" t="s">
        <v>457</v>
      </c>
      <c r="E51" s="366">
        <f>ШДанные!C8</f>
        <v>550</v>
      </c>
      <c r="F51" s="347"/>
      <c r="G51" s="348"/>
      <c r="H51" s="347"/>
      <c r="I51" s="347"/>
      <c r="J51" s="348"/>
      <c r="K51" s="347"/>
      <c r="L51" s="347"/>
      <c r="M51" s="348"/>
      <c r="N51" s="347"/>
      <c r="O51" s="347"/>
      <c r="P51" s="348"/>
      <c r="Q51" s="347"/>
      <c r="R51" s="347"/>
      <c r="S51" s="348"/>
      <c r="T51" s="347"/>
      <c r="U51" s="347"/>
      <c r="V51" s="348"/>
      <c r="W51" s="347"/>
      <c r="X51" s="349"/>
      <c r="Y51" s="350"/>
      <c r="Z51" s="349"/>
      <c r="AA51" s="349"/>
      <c r="AB51" s="350"/>
      <c r="AC51" s="349"/>
      <c r="AD51" s="349"/>
      <c r="AE51" s="350"/>
      <c r="AF51" s="349"/>
      <c r="AG51" s="349"/>
      <c r="AH51" s="350"/>
      <c r="AI51" s="3"/>
      <c r="AJ51" s="1"/>
      <c r="AK51" s="1"/>
    </row>
    <row r="52" spans="1:37" x14ac:dyDescent="0.25">
      <c r="A52" s="1"/>
      <c r="B52" s="346"/>
      <c r="C52" s="347"/>
      <c r="D52" s="348"/>
      <c r="E52" s="347"/>
      <c r="F52" s="347"/>
      <c r="G52" s="348"/>
      <c r="H52" s="347"/>
      <c r="I52" s="347"/>
      <c r="J52" s="348"/>
      <c r="K52" s="347"/>
      <c r="L52" s="347"/>
      <c r="M52" s="348"/>
      <c r="N52" s="347"/>
      <c r="O52" s="347"/>
      <c r="P52" s="348"/>
      <c r="Q52" s="347"/>
      <c r="R52" s="347"/>
      <c r="S52" s="348"/>
      <c r="T52" s="347"/>
      <c r="U52" s="347"/>
      <c r="V52" s="348"/>
      <c r="W52" s="347"/>
      <c r="X52" s="349"/>
      <c r="Y52" s="350"/>
      <c r="Z52" s="349"/>
      <c r="AA52" s="349"/>
      <c r="AB52" s="350"/>
      <c r="AC52" s="349"/>
      <c r="AD52" s="349"/>
      <c r="AE52" s="350"/>
      <c r="AF52" s="349"/>
      <c r="AG52" s="349"/>
      <c r="AH52" s="350"/>
      <c r="AI52" s="3"/>
      <c r="AJ52" s="1"/>
      <c r="AK52" s="1"/>
    </row>
    <row r="53" spans="1:37" x14ac:dyDescent="0.25">
      <c r="A53" s="144"/>
      <c r="B53" s="249" t="s">
        <v>769</v>
      </c>
      <c r="C53" s="249"/>
      <c r="D53" s="249"/>
      <c r="E53" s="249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1"/>
      <c r="AK53" s="1"/>
    </row>
    <row r="54" spans="1:37" x14ac:dyDescent="0.25">
      <c r="A54" s="144"/>
      <c r="B54" s="384" t="str">
        <f>ШДанные!E124</f>
        <v>Расчет верен</v>
      </c>
      <c r="C54" s="384"/>
      <c r="D54" s="384"/>
      <c r="E54" s="384"/>
      <c r="F54" s="384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1"/>
      <c r="AK54" s="1"/>
    </row>
    <row r="55" spans="1:37" x14ac:dyDescent="0.25">
      <c r="A55" s="144"/>
      <c r="B55" s="384" t="str">
        <f>ШДанные!E125</f>
        <v>Ошибка размещения модулей</v>
      </c>
      <c r="C55" s="384"/>
      <c r="D55" s="384"/>
      <c r="E55" s="384"/>
      <c r="F55" s="384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1"/>
      <c r="AK55" s="1"/>
    </row>
    <row r="56" spans="1:37" x14ac:dyDescent="0.25">
      <c r="A56" s="144"/>
      <c r="B56" s="384" t="str">
        <f>ШДанные!E126</f>
        <v>Ошибка подключения System Sensor</v>
      </c>
      <c r="C56" s="384"/>
      <c r="D56" s="384"/>
      <c r="E56" s="384"/>
      <c r="F56" s="384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1"/>
      <c r="AK56" s="1"/>
    </row>
    <row r="57" spans="1:37" x14ac:dyDescent="0.25">
      <c r="A57" s="144"/>
      <c r="B57" s="384" t="str">
        <f>ШДанные!E127</f>
        <v>Ошибка дополнительных параметров питания</v>
      </c>
      <c r="C57" s="384"/>
      <c r="D57" s="384"/>
      <c r="E57" s="384"/>
      <c r="F57" s="384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1"/>
      <c r="AK57" s="1"/>
    </row>
    <row r="58" spans="1:37" x14ac:dyDescent="0.25">
      <c r="A58" s="144"/>
      <c r="B58" s="384" t="str">
        <f>ШДанные!E128</f>
        <v>Превышение тока дежурого режима</v>
      </c>
      <c r="C58" s="384"/>
      <c r="D58" s="384"/>
      <c r="E58" s="384"/>
      <c r="F58" s="384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1"/>
      <c r="AK58" s="1"/>
    </row>
    <row r="59" spans="1:37" x14ac:dyDescent="0.25">
      <c r="A59" s="144"/>
      <c r="B59" s="384" t="str">
        <f>ШДанные!E129</f>
        <v>Превышение тока режима активности</v>
      </c>
      <c r="C59" s="384"/>
      <c r="D59" s="384"/>
      <c r="E59" s="384"/>
      <c r="F59" s="384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1"/>
      <c r="AK59" s="1"/>
    </row>
    <row r="60" spans="1:37" x14ac:dyDescent="0.25">
      <c r="A60" s="144"/>
      <c r="B60" s="384" t="str">
        <f>ШДанные!E130</f>
        <v>Превышение емкости АКБ</v>
      </c>
      <c r="C60" s="384"/>
      <c r="D60" s="384"/>
      <c r="E60" s="384"/>
      <c r="F60" s="384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1"/>
      <c r="AK60" s="1"/>
    </row>
    <row r="61" spans="1:37" x14ac:dyDescent="0.25">
      <c r="A61" s="144"/>
      <c r="B61" s="384" t="str">
        <f>ШДанные!E131</f>
        <v>Ошибка расчета гермовводов</v>
      </c>
      <c r="C61" s="384"/>
      <c r="D61" s="384"/>
      <c r="E61" s="384"/>
      <c r="F61" s="384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1"/>
      <c r="AK61" s="1"/>
    </row>
    <row r="62" spans="1:37" x14ac:dyDescent="0.25">
      <c r="A62" s="144"/>
      <c r="B62" s="385" t="str">
        <f>ШДанные!E132</f>
        <v>Добавлены модули System Sensor без СФ-МАШ-4</v>
      </c>
      <c r="C62" s="386"/>
      <c r="D62" s="386"/>
      <c r="E62" s="386"/>
      <c r="F62" s="387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1"/>
      <c r="AK62" s="1"/>
    </row>
    <row r="63" spans="1:37" x14ac:dyDescent="0.25">
      <c r="A63" s="144"/>
      <c r="B63" s="384" t="str">
        <f>ШДанные!E133</f>
        <v>Ошибка расчета СФ-МАШ-4 №1</v>
      </c>
      <c r="C63" s="384"/>
      <c r="D63" s="384"/>
      <c r="E63" s="384"/>
      <c r="F63" s="384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1"/>
      <c r="AK63" s="1"/>
    </row>
    <row r="64" spans="1:37" x14ac:dyDescent="0.25">
      <c r="A64" s="144"/>
      <c r="B64" s="384" t="str">
        <f>ШДанные!E134</f>
        <v>Ошибка расчета СФ-МАШ-4 №2</v>
      </c>
      <c r="C64" s="384"/>
      <c r="D64" s="384"/>
      <c r="E64" s="384"/>
      <c r="F64" s="384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1"/>
      <c r="AK64" s="1"/>
    </row>
    <row r="65" spans="1:37" x14ac:dyDescent="0.25">
      <c r="A65" s="144"/>
      <c r="B65" s="384" t="str">
        <f>ШДанные!E135</f>
        <v>Ошибка расчета СФ-МАШ-4 №3</v>
      </c>
      <c r="C65" s="384"/>
      <c r="D65" s="384"/>
      <c r="E65" s="384"/>
      <c r="F65" s="384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1"/>
      <c r="AK65" s="1"/>
    </row>
    <row r="66" spans="1:37" x14ac:dyDescent="0.25">
      <c r="A66" s="144"/>
      <c r="B66" s="384" t="str">
        <f>ШДанные!E136</f>
        <v>Ошибка расчета СФ-МАШ-4 №4</v>
      </c>
      <c r="C66" s="384"/>
      <c r="D66" s="384"/>
      <c r="E66" s="384"/>
      <c r="F66" s="384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1"/>
      <c r="AK66" s="1"/>
    </row>
    <row r="67" spans="1:37" x14ac:dyDescent="0.25">
      <c r="A67" s="144"/>
      <c r="B67" s="384" t="str">
        <f>ШДанные!E137</f>
        <v>Ошибка расчета неадресных модулей</v>
      </c>
      <c r="C67" s="384"/>
      <c r="D67" s="384"/>
      <c r="E67" s="384"/>
      <c r="F67" s="384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1"/>
      <c r="AK67" s="1"/>
    </row>
    <row r="68" spans="1:37" x14ac:dyDescent="0.25">
      <c r="A68" s="144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x14ac:dyDescent="0.25">
      <c r="A69" s="144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x14ac:dyDescent="0.25">
      <c r="A70" s="144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x14ac:dyDescent="0.25">
      <c r="A71" s="144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1:37" x14ac:dyDescent="0.25">
      <c r="A72" s="144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x14ac:dyDescent="0.25">
      <c r="A73" s="144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x14ac:dyDescent="0.25">
      <c r="A74" s="144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x14ac:dyDescent="0.25">
      <c r="A75" s="144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x14ac:dyDescent="0.25">
      <c r="A76" s="144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x14ac:dyDescent="0.25">
      <c r="A77" s="144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x14ac:dyDescent="0.25">
      <c r="A78" s="14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x14ac:dyDescent="0.25">
      <c r="A79" s="14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x14ac:dyDescent="0.25">
      <c r="A80" s="144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x14ac:dyDescent="0.25">
      <c r="A81" s="144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x14ac:dyDescent="0.25">
      <c r="A82" s="144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x14ac:dyDescent="0.25">
      <c r="A83" s="144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x14ac:dyDescent="0.25">
      <c r="A84" s="144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x14ac:dyDescent="0.25">
      <c r="A85" s="144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:37" x14ac:dyDescent="0.25">
      <c r="A86" s="144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:37" x14ac:dyDescent="0.25">
      <c r="A87" s="144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:37" x14ac:dyDescent="0.25">
      <c r="A88" s="144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37" x14ac:dyDescent="0.25">
      <c r="A89" s="144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1:37" x14ac:dyDescent="0.25">
      <c r="A90" s="144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1:37" x14ac:dyDescent="0.25">
      <c r="A91" s="144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37" x14ac:dyDescent="0.25">
      <c r="A92" s="144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37" x14ac:dyDescent="0.25">
      <c r="A93" s="144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37" x14ac:dyDescent="0.25">
      <c r="A94" s="144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1:37" x14ac:dyDescent="0.25">
      <c r="A95" s="144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1:37" x14ac:dyDescent="0.25">
      <c r="A96" s="144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1:37" x14ac:dyDescent="0.25">
      <c r="A97" s="144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:37" x14ac:dyDescent="0.25">
      <c r="A98" s="144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:37" x14ac:dyDescent="0.25">
      <c r="A99" s="144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:37" x14ac:dyDescent="0.25">
      <c r="A100" s="144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:37" x14ac:dyDescent="0.25">
      <c r="A101" s="144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:37" x14ac:dyDescent="0.25">
      <c r="A102" s="144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:37" x14ac:dyDescent="0.25">
      <c r="A103" s="144"/>
    </row>
    <row r="104" spans="1:37" x14ac:dyDescent="0.25">
      <c r="A104" s="144"/>
    </row>
    <row r="105" spans="1:37" x14ac:dyDescent="0.25">
      <c r="A105" s="144"/>
    </row>
    <row r="106" spans="1:37" x14ac:dyDescent="0.25">
      <c r="A106" s="144"/>
    </row>
    <row r="107" spans="1:37" x14ac:dyDescent="0.25">
      <c r="A107" s="144"/>
    </row>
    <row r="108" spans="1:37" x14ac:dyDescent="0.25">
      <c r="A108" s="144"/>
    </row>
    <row r="109" spans="1:37" x14ac:dyDescent="0.25">
      <c r="A109" s="144"/>
    </row>
    <row r="110" spans="1:37" x14ac:dyDescent="0.25">
      <c r="A110" s="144"/>
    </row>
    <row r="111" spans="1:37" x14ac:dyDescent="0.25">
      <c r="A111" s="144"/>
    </row>
    <row r="121" spans="1:27" x14ac:dyDescent="0.25">
      <c r="A121" s="144"/>
    </row>
    <row r="123" spans="1:27" x14ac:dyDescent="0.25">
      <c r="B123" s="147"/>
      <c r="C123" s="146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46"/>
      <c r="P123" s="146"/>
      <c r="Q123" s="146"/>
      <c r="R123" s="146"/>
      <c r="S123" s="146"/>
      <c r="T123" s="146"/>
      <c r="U123" s="146"/>
      <c r="V123" s="146"/>
      <c r="W123" s="146"/>
      <c r="X123" s="146"/>
      <c r="Y123" s="146"/>
      <c r="Z123" s="146"/>
      <c r="AA123" s="146"/>
    </row>
    <row r="124" spans="1:27" x14ac:dyDescent="0.25">
      <c r="B124" s="68"/>
    </row>
    <row r="132" spans="2:3" x14ac:dyDescent="0.25">
      <c r="C132" s="27"/>
    </row>
    <row r="136" spans="2:3" x14ac:dyDescent="0.25">
      <c r="B136" s="148"/>
    </row>
    <row r="144" spans="2:3" x14ac:dyDescent="0.25">
      <c r="B144" s="149"/>
    </row>
    <row r="145" spans="2:2" x14ac:dyDescent="0.25">
      <c r="B145" s="149"/>
    </row>
    <row r="146" spans="2:2" x14ac:dyDescent="0.25">
      <c r="B146" s="149"/>
    </row>
    <row r="152" spans="2:2" x14ac:dyDescent="0.25">
      <c r="B152" s="149"/>
    </row>
    <row r="155" spans="2:2" x14ac:dyDescent="0.25">
      <c r="B155" s="147"/>
    </row>
    <row r="156" spans="2:2" x14ac:dyDescent="0.25">
      <c r="B156" s="68"/>
    </row>
    <row r="157" spans="2:2" x14ac:dyDescent="0.25">
      <c r="B157" s="149"/>
    </row>
    <row r="161" spans="2:2" x14ac:dyDescent="0.25">
      <c r="B161" s="68"/>
    </row>
    <row r="162" spans="2:2" x14ac:dyDescent="0.25">
      <c r="B162" s="149"/>
    </row>
    <row r="164" spans="2:2" x14ac:dyDescent="0.25">
      <c r="B164" s="149"/>
    </row>
    <row r="165" spans="2:2" x14ac:dyDescent="0.25">
      <c r="B165" s="68"/>
    </row>
  </sheetData>
  <sheetProtection password="DF98" sheet="1" objects="1" scenarios="1"/>
  <mergeCells count="79">
    <mergeCell ref="AB16:AI17"/>
    <mergeCell ref="AD18:AI18"/>
    <mergeCell ref="AD19:AI19"/>
    <mergeCell ref="AD20:AI20"/>
    <mergeCell ref="AD21:AI21"/>
    <mergeCell ref="AD22:AI22"/>
    <mergeCell ref="AD23:AI23"/>
    <mergeCell ref="AD24:AI24"/>
    <mergeCell ref="F2:T2"/>
    <mergeCell ref="O3:Q3"/>
    <mergeCell ref="T3:U3"/>
    <mergeCell ref="R6:T6"/>
    <mergeCell ref="U6:W6"/>
    <mergeCell ref="X6:Z6"/>
    <mergeCell ref="R12:T12"/>
    <mergeCell ref="U12:W12"/>
    <mergeCell ref="X12:Z12"/>
    <mergeCell ref="AA13:AH14"/>
    <mergeCell ref="R15:T15"/>
    <mergeCell ref="U15:W15"/>
    <mergeCell ref="AC15:AH15"/>
    <mergeCell ref="C6:E6"/>
    <mergeCell ref="F6:H6"/>
    <mergeCell ref="I6:K6"/>
    <mergeCell ref="L6:N6"/>
    <mergeCell ref="O6:Q6"/>
    <mergeCell ref="C12:E12"/>
    <mergeCell ref="F12:H12"/>
    <mergeCell ref="I12:K12"/>
    <mergeCell ref="L12:N12"/>
    <mergeCell ref="O12:Q12"/>
    <mergeCell ref="C15:E15"/>
    <mergeCell ref="F15:H15"/>
    <mergeCell ref="I15:K15"/>
    <mergeCell ref="L15:N15"/>
    <mergeCell ref="O15:Q15"/>
    <mergeCell ref="C23:E23"/>
    <mergeCell ref="F23:H23"/>
    <mergeCell ref="I23:K23"/>
    <mergeCell ref="L23:N23"/>
    <mergeCell ref="O23:Q23"/>
    <mergeCell ref="R23:T23"/>
    <mergeCell ref="U23:W23"/>
    <mergeCell ref="X23:Z23"/>
    <mergeCell ref="C34:E34"/>
    <mergeCell ref="F34:H34"/>
    <mergeCell ref="C24:E24"/>
    <mergeCell ref="F24:H24"/>
    <mergeCell ref="I24:K24"/>
    <mergeCell ref="U24:W24"/>
    <mergeCell ref="X24:Z24"/>
    <mergeCell ref="C30:E30"/>
    <mergeCell ref="F30:H30"/>
    <mergeCell ref="C32:E32"/>
    <mergeCell ref="L24:N24"/>
    <mergeCell ref="O24:Q24"/>
    <mergeCell ref="R24:T24"/>
    <mergeCell ref="B44:G44"/>
    <mergeCell ref="I44:O44"/>
    <mergeCell ref="B45:G45"/>
    <mergeCell ref="K45:P45"/>
    <mergeCell ref="C35:E35"/>
    <mergeCell ref="B39:K39"/>
    <mergeCell ref="B40:K40"/>
    <mergeCell ref="B41:K41"/>
    <mergeCell ref="B65:F65"/>
    <mergeCell ref="B66:F66"/>
    <mergeCell ref="B67:F67"/>
    <mergeCell ref="B54:F54"/>
    <mergeCell ref="B55:F55"/>
    <mergeCell ref="B56:F56"/>
    <mergeCell ref="B57:F57"/>
    <mergeCell ref="B58:F58"/>
    <mergeCell ref="B59:F59"/>
    <mergeCell ref="B60:F60"/>
    <mergeCell ref="B61:F61"/>
    <mergeCell ref="B63:F63"/>
    <mergeCell ref="B64:F64"/>
    <mergeCell ref="B62:F62"/>
  </mergeCells>
  <conditionalFormatting sqref="L9:N10 L18:N19">
    <cfRule type="expression" dxfId="270" priority="82">
      <formula>AND($L9&gt;$N9,$N9&gt;=0)</formula>
    </cfRule>
  </conditionalFormatting>
  <conditionalFormatting sqref="C24 C26:E27">
    <cfRule type="expression" dxfId="269" priority="77">
      <formula>$C$11&gt;0</formula>
    </cfRule>
  </conditionalFormatting>
  <conditionalFormatting sqref="F24 F26:H27">
    <cfRule type="expression" dxfId="268" priority="76">
      <formula>$F$11&gt;0</formula>
    </cfRule>
  </conditionalFormatting>
  <conditionalFormatting sqref="I24 I26:K27">
    <cfRule type="expression" dxfId="267" priority="75">
      <formula>$I$11&gt;0</formula>
    </cfRule>
  </conditionalFormatting>
  <conditionalFormatting sqref="L24 L26:N27">
    <cfRule type="expression" dxfId="266" priority="74">
      <formula>$L$11&gt;0</formula>
    </cfRule>
  </conditionalFormatting>
  <conditionalFormatting sqref="O24 O26:Q27">
    <cfRule type="expression" dxfId="265" priority="73">
      <formula>$O$11&gt;0</formula>
    </cfRule>
  </conditionalFormatting>
  <conditionalFormatting sqref="R24 R26:T27">
    <cfRule type="expression" dxfId="264" priority="72">
      <formula>$R$11&gt;0</formula>
    </cfRule>
  </conditionalFormatting>
  <conditionalFormatting sqref="C33:E33">
    <cfRule type="expression" dxfId="263" priority="68">
      <formula>OR($C$33&gt;0,$E$33&gt;0)</formula>
    </cfRule>
  </conditionalFormatting>
  <conditionalFormatting sqref="O9:Q10 O18:Q19">
    <cfRule type="expression" dxfId="262" priority="84">
      <formula>AND($O9&gt;$Q9,$Q9&gt;=0)</formula>
    </cfRule>
  </conditionalFormatting>
  <conditionalFormatting sqref="L18:N20 L9:N11">
    <cfRule type="expression" dxfId="261" priority="96">
      <formula>AND($L9&gt;0,$N9&gt;0)</formula>
    </cfRule>
  </conditionalFormatting>
  <conditionalFormatting sqref="O18:Q20 O9:Q11">
    <cfRule type="expression" dxfId="260" priority="98">
      <formula>AND($O9&gt;0,$Q9&gt;0)</formula>
    </cfRule>
  </conditionalFormatting>
  <conditionalFormatting sqref="U9:W10">
    <cfRule type="expression" dxfId="259" priority="7">
      <formula>AND($U9&gt;$W9,$W9&gt;=0)</formula>
    </cfRule>
  </conditionalFormatting>
  <conditionalFormatting sqref="X9:Z11">
    <cfRule type="expression" dxfId="258" priority="109">
      <formula>AND($X9&gt;0,$Z9&gt;0)</formula>
    </cfRule>
  </conditionalFormatting>
  <conditionalFormatting sqref="L12:N12">
    <cfRule type="expression" dxfId="257" priority="59">
      <formula>$L$12&gt;$L$11*4</formula>
    </cfRule>
    <cfRule type="expression" dxfId="256" priority="62">
      <formula>$L$11&gt;0</formula>
    </cfRule>
  </conditionalFormatting>
  <conditionalFormatting sqref="O12:Q12">
    <cfRule type="expression" dxfId="255" priority="60">
      <formula>$O$12&gt;4*$O$11</formula>
    </cfRule>
    <cfRule type="expression" dxfId="254" priority="61">
      <formula>$O$11&gt;0</formula>
    </cfRule>
  </conditionalFormatting>
  <conditionalFormatting sqref="C50:E50">
    <cfRule type="expression" dxfId="253" priority="47">
      <formula>$C$50&lt;0</formula>
    </cfRule>
  </conditionalFormatting>
  <conditionalFormatting sqref="C51">
    <cfRule type="expression" dxfId="252" priority="46">
      <formula>$C$51&lt;0</formula>
    </cfRule>
  </conditionalFormatting>
  <conditionalFormatting sqref="R9:T11 R18:T20">
    <cfRule type="expression" dxfId="251" priority="99">
      <formula>AND($R9&gt;0,$T9&gt;0)</formula>
    </cfRule>
  </conditionalFormatting>
  <conditionalFormatting sqref="L8:N8 L17:N17">
    <cfRule type="expression" dxfId="250" priority="97">
      <formula>AND($R$3="02",$L8&gt;$N8,$N8&gt;=0)</formula>
    </cfRule>
    <cfRule type="expression" dxfId="249" priority="105">
      <formula>AND($R$3="02",$L8&gt;0,$N8&gt;0)</formula>
    </cfRule>
  </conditionalFormatting>
  <conditionalFormatting sqref="I9:K11 I18:K20">
    <cfRule type="expression" dxfId="248" priority="94">
      <formula>AND($I9&gt;0,$K9&gt;0)</formula>
    </cfRule>
  </conditionalFormatting>
  <conditionalFormatting sqref="F9:H11 F18:H20">
    <cfRule type="expression" dxfId="247" priority="104">
      <formula>AND($F9&gt;0,$H9&gt;0)</formula>
    </cfRule>
  </conditionalFormatting>
  <conditionalFormatting sqref="C9:E11 C18:E20">
    <cfRule type="expression" dxfId="246" priority="92">
      <formula>AND($C9&gt;0,$E9&gt;0)</formula>
    </cfRule>
  </conditionalFormatting>
  <conditionalFormatting sqref="C9:E10 C18:E19">
    <cfRule type="expression" dxfId="245" priority="88">
      <formula>AND($C9&gt;$E9,$E9&gt;=0)</formula>
    </cfRule>
  </conditionalFormatting>
  <conditionalFormatting sqref="F9:H10 F18:H19">
    <cfRule type="expression" dxfId="244" priority="87">
      <formula>AND($F9&gt;$H9,$H9&gt;=0)</formula>
    </cfRule>
  </conditionalFormatting>
  <conditionalFormatting sqref="I9:K10 I18:K19">
    <cfRule type="expression" dxfId="243" priority="79">
      <formula>AND($I9&gt;$K9,$K9&gt;=0)</formula>
    </cfRule>
  </conditionalFormatting>
  <conditionalFormatting sqref="R9:T10 R18:T19">
    <cfRule type="expression" dxfId="242" priority="78">
      <formula>AND($R9&gt;$T9,$T9&gt;=0)</formula>
    </cfRule>
  </conditionalFormatting>
  <conditionalFormatting sqref="U9:W11">
    <cfRule type="expression" dxfId="241" priority="107">
      <formula>AND($U9&gt;0,$W9&gt;0)</formula>
    </cfRule>
  </conditionalFormatting>
  <conditionalFormatting sqref="X9:Z10">
    <cfRule type="expression" dxfId="240" priority="108">
      <formula>AND($X9&gt;$Z9,$Z9&gt;=0)</formula>
    </cfRule>
  </conditionalFormatting>
  <conditionalFormatting sqref="U24 U26:W27">
    <cfRule type="expression" dxfId="239" priority="39">
      <formula>$U$11&gt;1</formula>
    </cfRule>
  </conditionalFormatting>
  <conditionalFormatting sqref="F33:H33 F35:H35">
    <cfRule type="expression" dxfId="238" priority="36">
      <formula>$F$33&gt;0</formula>
    </cfRule>
  </conditionalFormatting>
  <conditionalFormatting sqref="F35:H35">
    <cfRule type="expression" dxfId="237" priority="34">
      <formula>$F$35&gt;$H$35</formula>
    </cfRule>
  </conditionalFormatting>
  <conditionalFormatting sqref="U11:W11">
    <cfRule type="expression" dxfId="236" priority="10">
      <formula>$U$11=1</formula>
    </cfRule>
  </conditionalFormatting>
  <conditionalFormatting sqref="U10">
    <cfRule type="expression" dxfId="235" priority="8">
      <formula>$U$10=1</formula>
    </cfRule>
  </conditionalFormatting>
  <conditionalFormatting sqref="V10:W10">
    <cfRule type="expression" dxfId="234" priority="9">
      <formula>$U$10=1</formula>
    </cfRule>
  </conditionalFormatting>
  <conditionalFormatting sqref="U10:W11">
    <cfRule type="expression" dxfId="233" priority="106">
      <formula>$U$10=0</formula>
    </cfRule>
  </conditionalFormatting>
  <dataValidations count="7">
    <dataValidation errorStyle="warning" allowBlank="1" showInputMessage="1" showErrorMessage="1" error="Выберите тип шкафа: Проходной или Кольцевой" sqref="T3:U3"/>
    <dataValidation type="whole" allowBlank="1" showInputMessage="1" showErrorMessage="1" errorTitle="Ошибка!" error="Количество модулей превышает максимально возможное. Если максимальное количество равно 0, добавьте модули СФ-АР5008 или СФ-КУ4005." sqref="X8:X10">
      <formula1>0</formula1>
      <formula2>Z8</formula2>
    </dataValidation>
    <dataValidation type="whole" allowBlank="1" showInputMessage="1" showErrorMessage="1" errorTitle="Ошибка!" error="Количество модулей превышает максимально возможное" sqref="C8:C10 U8:U10 R8:R10 O8:O10 L8:L10 I8:I10 F8:F10">
      <formula1>0</formula1>
      <formula2>E8</formula2>
    </dataValidation>
    <dataValidation type="whole" allowBlank="1" showInputMessage="1" showErrorMessage="1" error="Количество используемых реле превышает количество реле, установленных в шкаф сигнализации" promptTitle="0 - используются все выходы" prompt="Общее количество используемых выходов СФ-РМ3004. Влияет на количество гермовводов и ток модуля в режиме активности." sqref="L12:N12">
      <formula1>0</formula1>
      <formula2>L11*4</formula2>
    </dataValidation>
    <dataValidation type="whole" allowBlank="1" showInputMessage="1" showErrorMessage="1" error="Количество используемых реле превышает количество реле, установленных в шкаф сигнализации" promptTitle="0 - используются все выходы" prompt="Общее количество используемых выходов СФ-МК4044. Влияет на количество гермовводов и ток модуля в режиме активности." sqref="O12:Q12">
      <formula1>0</formula1>
      <formula2>O11*4</formula2>
    </dataValidation>
    <dataValidation type="whole" allowBlank="1" showInputMessage="1" showErrorMessage="1" errorTitle="Ошибка!" error="Количество модулей превышает максимально возможное._x000a_Если максимальное количество всех модулей равно нулю, добавьте СФ-МАШ-4 в таблицу 1.1." sqref="C17:C19 U17:U19 R17:R19 O17:O19 L17:L19 I17:I19 F17:F19">
      <formula1>0</formula1>
      <formula2>E17</formula2>
    </dataValidation>
    <dataValidation type="whole" allowBlank="1" showInputMessage="1" showErrorMessage="1" errorTitle="Неверное количество модулей" error="Минимальное значение - 0 или количество модулей в шкафу._x000a_Максимальное - сумма модулей, указанных в калькуляторах СФ-МАШ-4" promptTitle="0 - Все питаются от этого шкафа" prompt="Укажите количество модулей запитанных от этого шкафа._x000a_Если ни один M210E-CZR от шкафа не питается, измените источник питания (строка выше)" sqref="F35">
      <formula1>0</formula1>
      <formula2>H35</formula2>
    </dataValidation>
  </dataValidations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orelDraw.Graphic.17" shapeId="10247" r:id="rId4">
          <objectPr defaultSize="0" autoPict="0" r:id="rId5">
            <anchor moveWithCells="1">
              <from>
                <xdr:col>1</xdr:col>
                <xdr:colOff>0</xdr:colOff>
                <xdr:row>0</xdr:row>
                <xdr:rowOff>38100</xdr:rowOff>
              </from>
              <to>
                <xdr:col>4</xdr:col>
                <xdr:colOff>381000</xdr:colOff>
                <xdr:row>2</xdr:row>
                <xdr:rowOff>0</xdr:rowOff>
              </to>
            </anchor>
          </objectPr>
        </oleObject>
      </mc:Choice>
      <mc:Fallback>
        <oleObject progId="CorelDraw.Graphic.17" shapeId="10247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15" id="{CB9234B4-9E34-4231-BB88-002B06C0CCFD}">
            <xm:f>$R$3=ШДанные!$B$31</xm:f>
            <x14:dxf>
              <font>
                <color theme="0" tint="-0.14996795556505021"/>
              </font>
              <fill>
                <patternFill>
                  <bgColor theme="0" tint="-0.14996795556505021"/>
                </patternFill>
              </fill>
            </x14:dxf>
          </x14:cfRule>
          <xm:sqref>B8:Z8 B17:T17</xm:sqref>
        </x14:conditionalFormatting>
        <x14:conditionalFormatting xmlns:xm="http://schemas.microsoft.com/office/excel/2006/main">
          <x14:cfRule type="expression" priority="1318" id="{75078897-086F-4333-9709-DE7E750949C6}">
            <xm:f>AND($R$3=ШДанные!$B$32,$X8&gt;$Z8,$Z8&gt;=0)</xm:f>
            <x14:dxf>
              <fill>
                <patternFill>
                  <bgColor rgb="FFFFC000"/>
                </patternFill>
              </fill>
            </x14:dxf>
          </x14:cfRule>
          <x14:cfRule type="expression" priority="1319" id="{6F94CB75-F67D-479A-9E64-5B2BDB90EEDE}">
            <xm:f>AND($R$3=ШДанные!$B$32,$X8&gt;0,$Z8&gt;0)</xm:f>
            <x14:dxf>
              <fill>
                <patternFill>
                  <bgColor rgb="FFFFFF00"/>
                </patternFill>
              </fill>
            </x14:dxf>
          </x14:cfRule>
          <xm:sqref>X8:Z8</xm:sqref>
        </x14:conditionalFormatting>
        <x14:conditionalFormatting xmlns:xm="http://schemas.microsoft.com/office/excel/2006/main">
          <x14:cfRule type="expression" priority="1320" id="{B30A879E-D85D-4798-91DE-3A8E295C38B3}">
            <xm:f>AND($R$3=ШДанные!$B$32,$C$49&lt;0)</xm:f>
            <x14:dxf>
              <fill>
                <patternFill>
                  <bgColor rgb="FFFFC000"/>
                </patternFill>
              </fill>
            </x14:dxf>
          </x14:cfRule>
          <xm:sqref>C49:E49</xm:sqref>
        </x14:conditionalFormatting>
        <x14:conditionalFormatting xmlns:xm="http://schemas.microsoft.com/office/excel/2006/main">
          <x14:cfRule type="expression" priority="1321" id="{E568C42C-8A3F-407B-9010-2DBA45542CA8}">
            <xm:f>AND($R$3=ШДанные!$B$32,$R8&gt;$T8,$T8&gt;=0)</xm:f>
            <x14:dxf>
              <fill>
                <patternFill>
                  <bgColor rgb="FFFFC000"/>
                </patternFill>
              </fill>
            </x14:dxf>
          </x14:cfRule>
          <x14:cfRule type="expression" priority="1322" id="{CD1ED635-92E5-4375-879E-3DA2F370D6E1}">
            <xm:f>AND($R$3=ШДанные!$B$32,$R8&gt;0,$T8&gt;0)</xm:f>
            <x14:dxf>
              <fill>
                <patternFill>
                  <bgColor rgb="FFFFFF00"/>
                </patternFill>
              </fill>
            </x14:dxf>
          </x14:cfRule>
          <xm:sqref>R8:T8 R17:T17</xm:sqref>
        </x14:conditionalFormatting>
        <x14:conditionalFormatting xmlns:xm="http://schemas.microsoft.com/office/excel/2006/main">
          <x14:cfRule type="expression" priority="1325" id="{007A5A58-0942-495C-9155-48D03AD18B7C}">
            <xm:f>AND($R$3=ШДанные!$B$32,$O8&gt;$Q8,$Q8&gt;=0)</xm:f>
            <x14:dxf>
              <fill>
                <patternFill>
                  <bgColor rgb="FFFFC000"/>
                </patternFill>
              </fill>
            </x14:dxf>
          </x14:cfRule>
          <x14:cfRule type="expression" priority="1326" id="{4DA28A03-A9E4-4E93-8B4A-425BBD63E4B0}">
            <xm:f>AND($R$3=ШДанные!$B$32,$O8&gt;0,$Q8&gt;0)</xm:f>
            <x14:dxf>
              <fill>
                <patternFill>
                  <bgColor rgb="FFFFFF00"/>
                </patternFill>
              </fill>
            </x14:dxf>
          </x14:cfRule>
          <xm:sqref>O8:Q8 O17:Q17</xm:sqref>
        </x14:conditionalFormatting>
        <x14:conditionalFormatting xmlns:xm="http://schemas.microsoft.com/office/excel/2006/main">
          <x14:cfRule type="expression" priority="1329" id="{23E66ECF-AAE7-4228-9D5E-801FF9E141B0}">
            <xm:f>AND($R$3=ШДанные!$B$32,$I8&gt;$K8,$K8&gt;=0)</xm:f>
            <x14:dxf>
              <fill>
                <patternFill>
                  <bgColor rgb="FFFFC000"/>
                </patternFill>
              </fill>
            </x14:dxf>
          </x14:cfRule>
          <x14:cfRule type="expression" priority="1330" id="{3F990E0B-66E8-4978-B8EE-DBA53B87EB70}">
            <xm:f>AND($R$3=ШДанные!$B$32,$I8&gt;0,$K8&gt;0)</xm:f>
            <x14:dxf>
              <fill>
                <patternFill>
                  <bgColor rgb="FFFFFF00"/>
                </patternFill>
              </fill>
            </x14:dxf>
          </x14:cfRule>
          <xm:sqref>I8:K8 I17:K17</xm:sqref>
        </x14:conditionalFormatting>
        <x14:conditionalFormatting xmlns:xm="http://schemas.microsoft.com/office/excel/2006/main">
          <x14:cfRule type="expression" priority="1333" id="{60BE34E6-48F0-49A2-B878-6E016B1D0378}">
            <xm:f>AND($R$3=ШДанные!$B$32,$F8&gt;$H8,$H8&gt;=0)</xm:f>
            <x14:dxf>
              <fill>
                <patternFill>
                  <bgColor rgb="FFFFC000"/>
                </patternFill>
              </fill>
            </x14:dxf>
          </x14:cfRule>
          <x14:cfRule type="expression" priority="1334" id="{B97D7247-BF57-4845-9BFE-141E503DEF7F}">
            <xm:f>AND($R$3=ШДанные!$B$32,$F8&gt;0,$H8&gt;0)</xm:f>
            <x14:dxf>
              <fill>
                <patternFill>
                  <bgColor rgb="FFFFFF00"/>
                </patternFill>
              </fill>
            </x14:dxf>
          </x14:cfRule>
          <xm:sqref>F8:H8 F17:H17</xm:sqref>
        </x14:conditionalFormatting>
        <x14:conditionalFormatting xmlns:xm="http://schemas.microsoft.com/office/excel/2006/main">
          <x14:cfRule type="expression" priority="1337" id="{E2EE5F14-45B9-46F0-BBC4-63A87924B4FA}">
            <xm:f>AND($R$3=ШДанные!$B$32,$C8&gt;$E8,$E8&gt;=0)</xm:f>
            <x14:dxf>
              <fill>
                <patternFill>
                  <bgColor rgb="FFFFC000"/>
                </patternFill>
              </fill>
            </x14:dxf>
          </x14:cfRule>
          <x14:cfRule type="expression" priority="1338" id="{0FD80D07-BDBD-41A5-A9CC-3BC98445C977}">
            <xm:f>AND($R$3=ШДанные!$B$32,$C8&gt;0,$E8&gt;0)</xm:f>
            <x14:dxf>
              <fill>
                <patternFill>
                  <bgColor rgb="FFFFFF00"/>
                </patternFill>
              </fill>
            </x14:dxf>
          </x14:cfRule>
          <xm:sqref>C8:E8 C17:E17</xm:sqref>
        </x14:conditionalFormatting>
        <x14:conditionalFormatting xmlns:xm="http://schemas.microsoft.com/office/excel/2006/main">
          <x14:cfRule type="expression" priority="1343" id="{CE7C8309-9982-466D-BD98-4AE2EAED3064}">
            <xm:f>AND($C$34=ШДанные!$B$50,$O$11=0)</xm:f>
            <x14:dxf>
              <fill>
                <patternFill patternType="solid">
                  <fgColor rgb="FFFFC000"/>
                  <bgColor rgb="FFFFC000"/>
                </patternFill>
              </fill>
            </x14:dxf>
          </x14:cfRule>
          <x14:cfRule type="expression" priority="1344" id="{DDE7EC85-A976-4D02-8ED7-9C03A637D5E9}">
            <xm:f>$C$34&lt;&gt;ШДанные!$B$53</xm:f>
            <x14:dxf>
              <fill>
                <patternFill>
                  <bgColor rgb="FFFFFF00"/>
                </patternFill>
              </fill>
            </x14:dxf>
          </x14:cfRule>
          <xm:sqref>C34:E34</xm:sqref>
        </x14:conditionalFormatting>
        <x14:conditionalFormatting xmlns:xm="http://schemas.microsoft.com/office/excel/2006/main">
          <x14:cfRule type="expression" priority="33" id="{3E3248D9-1FCF-450E-8247-BFDDC1CB431A}">
            <xm:f>ШДанные!$B$62</xm:f>
            <x14:dxf>
              <fill>
                <patternFill>
                  <bgColor rgb="FFFFC000"/>
                </patternFill>
              </fill>
            </x14:dxf>
          </x14:cfRule>
          <x14:cfRule type="expression" priority="1346" id="{BDB054D9-DDE4-404B-A42F-3FCB458E2B64}">
            <xm:f>$F$34=ШДанные!$B$57</xm:f>
            <x14:dxf>
              <fill>
                <patternFill>
                  <bgColor rgb="FFFFFF00"/>
                </patternFill>
              </fill>
            </x14:dxf>
          </x14:cfRule>
          <xm:sqref>F34:H34</xm:sqref>
        </x14:conditionalFormatting>
        <x14:conditionalFormatting xmlns:xm="http://schemas.microsoft.com/office/excel/2006/main">
          <x14:cfRule type="expression" priority="32" id="{3C7AB39B-31BF-4CE4-8EA7-A854CC0D1C1E}">
            <xm:f>OR(ШДанные!$B$62:$B$64)</xm:f>
            <x14:dxf>
              <fill>
                <patternFill>
                  <bgColor rgb="FFFFC000"/>
                </patternFill>
              </fill>
            </x14:dxf>
          </x14:cfRule>
          <xm:sqref>B36:N36</xm:sqref>
        </x14:conditionalFormatting>
        <x14:conditionalFormatting xmlns:xm="http://schemas.microsoft.com/office/excel/2006/main">
          <x14:cfRule type="expression" priority="30" id="{10B724B4-C6D9-4812-8C2B-8294B8926C06}">
            <xm:f>ШДанные!$D$131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B61</xm:sqref>
        </x14:conditionalFormatting>
        <x14:conditionalFormatting xmlns:xm="http://schemas.microsoft.com/office/excel/2006/main">
          <x14:cfRule type="expression" priority="29" id="{78A4F281-2DA3-4FA4-B530-41113836564D}">
            <xm:f>ШДанные!$D$133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B63</xm:sqref>
        </x14:conditionalFormatting>
        <x14:conditionalFormatting xmlns:xm="http://schemas.microsoft.com/office/excel/2006/main">
          <x14:cfRule type="expression" priority="27" id="{B504B862-3B82-41B3-95F2-18CFA6C283E0}">
            <xm:f>ШДанные!$D$135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B65</xm:sqref>
        </x14:conditionalFormatting>
        <x14:conditionalFormatting xmlns:xm="http://schemas.microsoft.com/office/excel/2006/main">
          <x14:cfRule type="expression" priority="18" id="{8454D9CE-9DE6-453F-A9A4-78A2EC4AC540}">
            <xm:f>ШДанные!$D$136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B66</xm:sqref>
        </x14:conditionalFormatting>
        <x14:conditionalFormatting xmlns:xm="http://schemas.microsoft.com/office/excel/2006/main">
          <x14:cfRule type="expression" priority="5" id="{53A64164-9317-4A44-BAD1-AF40BF9D897C}">
            <xm:f>$C$12&lt;&gt;ШДанные!$B$39</xm:f>
            <x14:dxf>
              <fill>
                <patternFill>
                  <bgColor rgb="FFFFFF00"/>
                </patternFill>
              </fill>
            </x14:dxf>
          </x14:cfRule>
          <xm:sqref>C12:E12</xm:sqref>
        </x14:conditionalFormatting>
        <x14:conditionalFormatting xmlns:xm="http://schemas.microsoft.com/office/excel/2006/main">
          <x14:cfRule type="expression" priority="4" id="{3366B2B0-C678-4C95-AC52-68832B8F1BC3}">
            <xm:f>$F$12&lt;&gt;ШДанные!$B$44</xm:f>
            <x14:dxf>
              <fill>
                <patternFill>
                  <bgColor rgb="FFFFFF00"/>
                </patternFill>
              </fill>
            </x14:dxf>
          </x14:cfRule>
          <xm:sqref>F12:H12</xm:sqref>
        </x14:conditionalFormatting>
        <x14:conditionalFormatting xmlns:xm="http://schemas.microsoft.com/office/excel/2006/main">
          <x14:cfRule type="expression" priority="1357" id="{CC53CAB9-49BD-4BD1-A1EA-809C8237279B}">
            <xm:f>$L$39&gt;ШДанные!$B$68</xm:f>
            <x14:dxf>
              <fill>
                <patternFill>
                  <bgColor rgb="FFFF0000"/>
                </patternFill>
              </fill>
            </x14:dxf>
          </x14:cfRule>
          <xm:sqref>B39:L39</xm:sqref>
        </x14:conditionalFormatting>
        <x14:conditionalFormatting xmlns:xm="http://schemas.microsoft.com/office/excel/2006/main">
          <x14:cfRule type="expression" priority="1358" id="{DD026E2F-3CE2-43CD-A54B-D3F331F0CD8B}">
            <xm:f>$L$40&gt;ШДанные!$B$69</xm:f>
            <x14:dxf>
              <fill>
                <patternFill>
                  <bgColor rgb="FFFF0000"/>
                </patternFill>
              </fill>
            </x14:dxf>
          </x14:cfRule>
          <xm:sqref>B40:L40</xm:sqref>
        </x14:conditionalFormatting>
        <x14:conditionalFormatting xmlns:xm="http://schemas.microsoft.com/office/excel/2006/main">
          <x14:cfRule type="expression" priority="1359" id="{7000A50F-532D-4C3B-B59B-39294C981CA7}">
            <xm:f>$L$41&gt;ШДанные!$B$70</xm:f>
            <x14:dxf>
              <fill>
                <patternFill patternType="solid">
                  <fgColor auto="1"/>
                  <bgColor rgb="FFFFC000"/>
                </patternFill>
              </fill>
            </x14:dxf>
          </x14:cfRule>
          <xm:sqref>B41:L41</xm:sqref>
        </x14:conditionalFormatting>
        <x14:conditionalFormatting xmlns:xm="http://schemas.microsoft.com/office/excel/2006/main">
          <x14:cfRule type="expression" priority="1360" id="{857DACF7-B411-47F7-A1A2-5C0B617795C0}">
            <xm:f>$Q$45=ШДанные!$B$76</xm:f>
            <x14:dxf>
              <fill>
                <patternFill>
                  <bgColor theme="0" tint="-0.14996795556505021"/>
                </patternFill>
              </fill>
            </x14:dxf>
          </x14:cfRule>
          <x14:cfRule type="expression" priority="1361" id="{A2A6130F-25E5-4D9E-8C1E-3E35BC59FF75}">
            <xm:f>AND(OR($Q$45=ШДанные!$B$74,$Q$45=ШДанные!$B$75),$H$45&gt;$Q$45)</xm:f>
            <x14:dxf>
              <fill>
                <patternFill>
                  <bgColor rgb="FFFF0000"/>
                </patternFill>
              </fill>
            </x14:dxf>
          </x14:cfRule>
          <xm:sqref>H45</xm:sqref>
        </x14:conditionalFormatting>
        <x14:conditionalFormatting xmlns:xm="http://schemas.microsoft.com/office/excel/2006/main">
          <x14:cfRule type="expression" priority="1362" id="{07ADE75A-20E8-40E9-B4C2-4B2F948D3925}">
            <xm:f>$Q$45&lt;&gt;ШДанные!$B$76</xm:f>
            <x14:dxf>
              <fill>
                <patternFill>
                  <bgColor rgb="FFFFFF00"/>
                </patternFill>
              </fill>
            </x14:dxf>
          </x14:cfRule>
          <xm:sqref>Q45</xm:sqref>
        </x14:conditionalFormatting>
        <x14:conditionalFormatting xmlns:xm="http://schemas.microsoft.com/office/excel/2006/main">
          <x14:cfRule type="expression" priority="1363" id="{1D6E62F8-66E4-4496-9324-35FDB5334883}">
            <xm:f>ШДанные!$D$124</xm:f>
            <x14:dxf>
              <font>
                <b/>
                <i val="0"/>
                <color theme="1"/>
              </font>
              <fill>
                <patternFill>
                  <bgColor rgb="FF92D050"/>
                </patternFill>
              </fill>
            </x14:dxf>
          </x14:cfRule>
          <xm:sqref>B54</xm:sqref>
        </x14:conditionalFormatting>
        <x14:conditionalFormatting xmlns:xm="http://schemas.microsoft.com/office/excel/2006/main">
          <x14:cfRule type="expression" priority="1364" id="{10B724B4-C6D9-4812-8C2B-8294B8926C06}">
            <xm:f>ШДанные!$D$125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B55</xm:sqref>
        </x14:conditionalFormatting>
        <x14:conditionalFormatting xmlns:xm="http://schemas.microsoft.com/office/excel/2006/main">
          <x14:cfRule type="expression" priority="1365" id="{78A4F281-2DA3-4FA4-B530-41113836564D}">
            <xm:f>ШДанные!$D$126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B56</xm:sqref>
        </x14:conditionalFormatting>
        <x14:conditionalFormatting xmlns:xm="http://schemas.microsoft.com/office/excel/2006/main">
          <x14:cfRule type="expression" priority="1366" id="{E59A29CA-DC5B-412E-965E-D18D0480781D}">
            <xm:f>ШДанные!$D$127</xm:f>
            <x14:dxf>
              <font>
                <b/>
                <i val="0"/>
                <color theme="1"/>
              </font>
              <fill>
                <patternFill>
                  <bgColor rgb="FFFFC000"/>
                </patternFill>
              </fill>
            </x14:dxf>
          </x14:cfRule>
          <xm:sqref>B57</xm:sqref>
        </x14:conditionalFormatting>
        <x14:conditionalFormatting xmlns:xm="http://schemas.microsoft.com/office/excel/2006/main">
          <x14:cfRule type="expression" priority="1367" id="{B504B862-3B82-41B3-95F2-18CFA6C283E0}">
            <xm:f>ШДанные!$D$128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B58</xm:sqref>
        </x14:conditionalFormatting>
        <x14:conditionalFormatting xmlns:xm="http://schemas.microsoft.com/office/excel/2006/main">
          <x14:cfRule type="expression" priority="1368" id="{8454D9CE-9DE6-453F-A9A4-78A2EC4AC540}">
            <xm:f>ШДанные!$D$129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B59</xm:sqref>
        </x14:conditionalFormatting>
        <x14:conditionalFormatting xmlns:xm="http://schemas.microsoft.com/office/excel/2006/main">
          <x14:cfRule type="expression" priority="1369" id="{C0246ED9-9B30-45EC-AF39-39588D91B252}">
            <xm:f>ШДанные!$D$130</xm:f>
            <x14:dxf>
              <font>
                <b/>
                <i val="0"/>
                <color theme="1"/>
              </font>
              <fill>
                <patternFill>
                  <bgColor rgb="FFFFC000"/>
                </patternFill>
              </fill>
            </x14:dxf>
          </x14:cfRule>
          <xm:sqref>B60</xm:sqref>
        </x14:conditionalFormatting>
        <x14:conditionalFormatting xmlns:xm="http://schemas.microsoft.com/office/excel/2006/main">
          <x14:cfRule type="expression" priority="1372" id="{D8804BBB-38FF-43E9-934A-0B3066F6776B}">
            <xm:f>ШДанные!$D$134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B64</xm:sqref>
        </x14:conditionalFormatting>
        <x14:conditionalFormatting xmlns:xm="http://schemas.microsoft.com/office/excel/2006/main">
          <x14:cfRule type="expression" priority="1375" id="{77422237-8DB7-40CC-B00B-317C47D73D3A}">
            <xm:f>ШДанные!$D$137</xm:f>
            <x14:dxf>
              <font>
                <b/>
                <i val="0"/>
                <color theme="1"/>
              </font>
              <fill>
                <patternFill>
                  <bgColor rgb="FFFF0000"/>
                </patternFill>
              </fill>
            </x14:dxf>
          </x14:cfRule>
          <xm:sqref>B67</xm:sqref>
        </x14:conditionalFormatting>
        <x14:conditionalFormatting xmlns:xm="http://schemas.microsoft.com/office/excel/2006/main">
          <x14:cfRule type="expression" priority="1376" id="{815BDD71-3FAF-47CB-ACC8-692DA383EC35}">
            <xm:f>$H$44=ШДанные!$B$83</xm:f>
            <x14:dxf>
              <fill>
                <patternFill>
                  <bgColor rgb="FFFFFF00"/>
                </patternFill>
              </fill>
            </x14:dxf>
          </x14:cfRule>
          <xm:sqref>H44</xm:sqref>
        </x14:conditionalFormatting>
        <x14:conditionalFormatting xmlns:xm="http://schemas.microsoft.com/office/excel/2006/main">
          <x14:cfRule type="expression" priority="2" id="{23EEDEDE-13B0-4532-A7DC-495DDC00E794}">
            <xm:f>AND(OR($C$33&gt;0,$E$33&gt;0),$C$34=ШДанные!$B$51)</xm:f>
            <x14:dxf>
              <fill>
                <patternFill>
                  <bgColor rgb="FFFFC000"/>
                </patternFill>
              </fill>
            </x14:dxf>
          </x14:cfRule>
          <xm:sqref>C33:E34</xm:sqref>
        </x14:conditionalFormatting>
        <x14:conditionalFormatting xmlns:xm="http://schemas.microsoft.com/office/excel/2006/main">
          <x14:cfRule type="expression" priority="1" id="{02ED0A8B-DBC8-4250-8325-FC978A4F6D22}">
            <xm:f>ШДанные!$D$132</xm:f>
            <x14:dxf>
              <font>
                <b/>
                <i val="0"/>
                <color theme="1"/>
              </font>
              <fill>
                <patternFill>
                  <bgColor rgb="FFFFFF00"/>
                </patternFill>
              </fill>
            </x14:dxf>
          </x14:cfRule>
          <xm:sqref>B62:F62</xm:sqref>
        </x14:conditionalFormatting>
        <x14:conditionalFormatting xmlns:xm="http://schemas.microsoft.com/office/excel/2006/main">
          <x14:cfRule type="expression" priority="1341" id="{054E95B6-731F-44AC-A01B-6A64EDEDA03B}">
            <xm:f>AND($R$3=ШДанные!$B$32,$U8&gt;$W8,$W8&gt;=0)</xm:f>
            <x14:dxf>
              <fill>
                <patternFill>
                  <bgColor rgb="FFFFC000"/>
                </patternFill>
              </fill>
            </x14:dxf>
          </x14:cfRule>
          <x14:cfRule type="expression" priority="1342" id="{E7D48466-68F0-4D29-B523-1B8170F926E5}">
            <xm:f>AND($R$3=ШДанные!$B$32,$U8&gt;0,$W8&gt;0)</xm:f>
            <x14:dxf>
              <fill>
                <patternFill>
                  <bgColor rgb="FFFFFF00"/>
                </patternFill>
              </fill>
            </x14:dxf>
          </x14:cfRule>
          <xm:sqref>U8:W8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ШДанные!$B$31:$B$32</xm:f>
          </x14:formula1>
          <xm:sqref>R3</xm:sqref>
        </x14:dataValidation>
        <x14:dataValidation type="list" allowBlank="1" showInputMessage="1" showErrorMessage="1" prompt="НЗ контакты, НЗ контакты с Rш, НР контакты с Rдоп, Токопотребляющие -- все выходы модулей подключены таким способом._x000a_Различные -- используется значение, расчитаное на листе 6.">
          <x14:formula1>
            <xm:f>ШДанные!$B$36:$B$40</xm:f>
          </x14:formula1>
          <xm:sqref>C12:E12</xm:sqref>
        </x14:dataValidation>
        <x14:dataValidation type="list" allowBlank="1" showInputMessage="1" showErrorMessage="1" prompt="НР контакты, НЗ контакты -- все выходы модулей подключены таким способом._x000a_Различные -- используется значение, расчитаное на листе 6">
          <x14:formula1>
            <xm:f>ШДанные!$B$44:$B$46</xm:f>
          </x14:formula1>
          <xm:sqref>F12:H12</xm:sqref>
        </x14:dataValidation>
        <x14:dataValidation type="list" allowBlank="1" showInputMessage="1" showErrorMessage="1" promptTitle="Влияет на количество гермовводов" prompt="При выборе &quot;СФ-МК4044&quot; считается, что нагрузка подключена к выходу модуля и дополнительные гермовводы не учитываются._x000a_При выборе &quot;ВЫХОД 24 В&quot; или &quot;2 ВЫХОД 24 В&quot; добавляется 1 или 2 гермоввода для вывода питания внешних цепей">
          <x14:formula1>
            <xm:f>IF($O$11&gt;0,ШДанные!$B$50:$B$53,ШДанные!$B$51:$B$53)</xm:f>
          </x14:formula1>
          <xm:sqref>C34:E34</xm:sqref>
        </x14:dataValidation>
        <x14:dataValidation type="list" allowBlank="1" showErrorMessage="1" prompt="Если выбран &quot;СФ-ШС-24&quot;, необходимо выбрать количество модулей M210E-CZR, питание которых берется от этого шкафа_x000a_Если выбрано &quot;Внешний / Шлейф&quot;, дополнительное питание M210E-CZR не учитывается.">
          <x14:formula1>
            <xm:f>ШДанные!$B$57:$B$58</xm:f>
          </x14:formula1>
          <xm:sqref>F34:H34</xm:sqref>
        </x14:dataValidation>
        <x14:dataValidation type="list" allowBlank="1" showInputMessage="1" showErrorMessage="1">
          <x14:formula1>
            <xm:f>ШДанные!$B$74:$B$76</xm:f>
          </x14:formula1>
          <xm:sqref>Q45</xm:sqref>
        </x14:dataValidation>
        <x14:dataValidation type="list" allowBlank="1" showInputMessage="1" showErrorMessage="1">
          <x14:formula1>
            <xm:f>ШДанные!$B$82:$B$83</xm:f>
          </x14:formula1>
          <xm:sqref>H44</xm:sqref>
        </x14:dataValidation>
        <x14:dataValidation type="decimal" errorStyle="warning" allowBlank="1" showErrorMessage="1" errorTitle="Ошибка" error="Превышен максимальный ток или отсутсвует выход питания шкафа">
          <x14:formula1>
            <xm:f>0</xm:f>
          </x14:formula1>
          <x14:formula2>
            <xm:f>ШДанные!B68*(C34&lt;&gt;ШДанные!B51)</xm:f>
          </x14:formula2>
          <xm:sqref>C33</xm:sqref>
        </x14:dataValidation>
        <x14:dataValidation type="decimal" errorStyle="warning" allowBlank="1" showErrorMessage="1" errorTitle="Ошибка" error="Превышен максимальный ток или отсутсвует выход питания шкафа">
          <x14:formula1>
            <xm:f>0</xm:f>
          </x14:formula1>
          <x14:formula2>
            <xm:f>ШДанные!B69*(C34&lt;&gt;ШДанные!B51)</xm:f>
          </x14:formula2>
          <xm:sqref>E33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61"/>
  <sheetViews>
    <sheetView topLeftCell="A122" zoomScale="85" zoomScaleNormal="85" workbookViewId="0">
      <selection activeCell="C162" sqref="C162"/>
    </sheetView>
  </sheetViews>
  <sheetFormatPr defaultRowHeight="15" x14ac:dyDescent="0.25"/>
  <cols>
    <col min="1" max="1" width="2.85546875" customWidth="1"/>
    <col min="2" max="2" width="28.5703125" customWidth="1"/>
    <col min="3" max="4" width="42.85546875" customWidth="1"/>
  </cols>
  <sheetData>
    <row r="2" spans="2:4" x14ac:dyDescent="0.25">
      <c r="B2" t="s">
        <v>165</v>
      </c>
    </row>
    <row r="4" spans="2:4" x14ac:dyDescent="0.25">
      <c r="B4" t="s">
        <v>716</v>
      </c>
    </row>
    <row r="5" spans="2:4" x14ac:dyDescent="0.25">
      <c r="B5" t="s">
        <v>166</v>
      </c>
      <c r="C5" t="s">
        <v>167</v>
      </c>
      <c r="D5" t="s">
        <v>169</v>
      </c>
    </row>
    <row r="6" spans="2:4" x14ac:dyDescent="0.25">
      <c r="B6" s="28" t="s">
        <v>264</v>
      </c>
      <c r="C6" s="28" t="s">
        <v>265</v>
      </c>
      <c r="D6" s="28" t="s">
        <v>267</v>
      </c>
    </row>
    <row r="7" spans="2:4" ht="45" x14ac:dyDescent="0.25">
      <c r="B7" s="28" t="s">
        <v>168</v>
      </c>
      <c r="C7" s="28" t="s">
        <v>261</v>
      </c>
      <c r="D7" s="28" t="s">
        <v>262</v>
      </c>
    </row>
    <row r="8" spans="2:4" ht="45" x14ac:dyDescent="0.25">
      <c r="B8" s="28" t="s">
        <v>263</v>
      </c>
      <c r="C8" s="28" t="s">
        <v>261</v>
      </c>
      <c r="D8" s="28" t="s">
        <v>266</v>
      </c>
    </row>
    <row r="9" spans="2:4" x14ac:dyDescent="0.25">
      <c r="B9" s="28" t="s">
        <v>268</v>
      </c>
      <c r="C9" s="28" t="s">
        <v>272</v>
      </c>
      <c r="D9" s="28" t="s">
        <v>267</v>
      </c>
    </row>
    <row r="10" spans="2:4" ht="45" x14ac:dyDescent="0.25">
      <c r="B10" s="28" t="s">
        <v>271</v>
      </c>
      <c r="C10" s="28" t="s">
        <v>269</v>
      </c>
      <c r="D10" s="28" t="s">
        <v>270</v>
      </c>
    </row>
    <row r="11" spans="2:4" x14ac:dyDescent="0.25">
      <c r="B11" s="28" t="s">
        <v>273</v>
      </c>
      <c r="C11" s="28" t="s">
        <v>274</v>
      </c>
      <c r="D11" s="28" t="s">
        <v>262</v>
      </c>
    </row>
    <row r="12" spans="2:4" ht="45" x14ac:dyDescent="0.25">
      <c r="B12" s="28" t="s">
        <v>275</v>
      </c>
      <c r="C12" s="28" t="s">
        <v>278</v>
      </c>
      <c r="D12" s="28" t="s">
        <v>276</v>
      </c>
    </row>
    <row r="13" spans="2:4" ht="30" x14ac:dyDescent="0.25">
      <c r="B13" s="28" t="s">
        <v>277</v>
      </c>
      <c r="C13" s="28" t="s">
        <v>279</v>
      </c>
      <c r="D13" s="28" t="s">
        <v>280</v>
      </c>
    </row>
    <row r="14" spans="2:4" ht="30" x14ac:dyDescent="0.25">
      <c r="B14" s="28" t="s">
        <v>284</v>
      </c>
      <c r="C14" s="28" t="s">
        <v>285</v>
      </c>
      <c r="D14" s="28" t="s">
        <v>267</v>
      </c>
    </row>
    <row r="15" spans="2:4" ht="30" x14ac:dyDescent="0.25">
      <c r="B15" s="28" t="s">
        <v>286</v>
      </c>
      <c r="C15" s="28" t="s">
        <v>287</v>
      </c>
      <c r="D15" s="28" t="s">
        <v>288</v>
      </c>
    </row>
    <row r="16" spans="2:4" ht="30" x14ac:dyDescent="0.25">
      <c r="B16" s="28" t="s">
        <v>289</v>
      </c>
      <c r="C16" s="28" t="s">
        <v>290</v>
      </c>
      <c r="D16" s="28" t="s">
        <v>293</v>
      </c>
    </row>
    <row r="17" spans="2:4" ht="45" x14ac:dyDescent="0.25">
      <c r="B17" s="28" t="s">
        <v>291</v>
      </c>
      <c r="C17" s="28" t="s">
        <v>292</v>
      </c>
      <c r="D17" s="28" t="s">
        <v>294</v>
      </c>
    </row>
    <row r="18" spans="2:4" ht="60" x14ac:dyDescent="0.25">
      <c r="B18" s="28" t="s">
        <v>295</v>
      </c>
      <c r="C18" s="28" t="s">
        <v>296</v>
      </c>
      <c r="D18" s="28" t="s">
        <v>297</v>
      </c>
    </row>
    <row r="19" spans="2:4" ht="60" x14ac:dyDescent="0.25">
      <c r="B19" s="28" t="s">
        <v>298</v>
      </c>
      <c r="C19" s="28" t="s">
        <v>299</v>
      </c>
      <c r="D19" s="28" t="s">
        <v>300</v>
      </c>
    </row>
    <row r="20" spans="2:4" ht="30" x14ac:dyDescent="0.25">
      <c r="B20" s="28" t="s">
        <v>304</v>
      </c>
      <c r="C20" s="28" t="s">
        <v>305</v>
      </c>
      <c r="D20" s="28" t="s">
        <v>306</v>
      </c>
    </row>
    <row r="21" spans="2:4" ht="75" x14ac:dyDescent="0.25">
      <c r="B21" s="28" t="s">
        <v>307</v>
      </c>
      <c r="C21" s="28" t="s">
        <v>309</v>
      </c>
      <c r="D21" s="28" t="s">
        <v>310</v>
      </c>
    </row>
    <row r="22" spans="2:4" ht="45" x14ac:dyDescent="0.25">
      <c r="B22" s="28" t="s">
        <v>308</v>
      </c>
      <c r="C22" s="28" t="s">
        <v>311</v>
      </c>
      <c r="D22" s="28" t="s">
        <v>312</v>
      </c>
    </row>
    <row r="23" spans="2:4" ht="45" x14ac:dyDescent="0.25">
      <c r="B23" s="28" t="s">
        <v>313</v>
      </c>
      <c r="C23" s="28" t="s">
        <v>314</v>
      </c>
      <c r="D23" s="28" t="s">
        <v>315</v>
      </c>
    </row>
    <row r="24" spans="2:4" ht="30" x14ac:dyDescent="0.25">
      <c r="B24" s="28" t="s">
        <v>316</v>
      </c>
      <c r="C24" s="28" t="s">
        <v>317</v>
      </c>
      <c r="D24" s="28" t="s">
        <v>318</v>
      </c>
    </row>
    <row r="25" spans="2:4" ht="30" x14ac:dyDescent="0.25">
      <c r="B25" s="28" t="s">
        <v>319</v>
      </c>
      <c r="C25" s="28" t="s">
        <v>320</v>
      </c>
      <c r="D25" s="28" t="s">
        <v>321</v>
      </c>
    </row>
    <row r="26" spans="2:4" ht="30" x14ac:dyDescent="0.25">
      <c r="B26" s="28" t="s">
        <v>637</v>
      </c>
      <c r="C26" s="28" t="s">
        <v>638</v>
      </c>
      <c r="D26" s="28" t="s">
        <v>639</v>
      </c>
    </row>
    <row r="27" spans="2:4" ht="45" x14ac:dyDescent="0.25">
      <c r="B27" s="28" t="s">
        <v>646</v>
      </c>
      <c r="C27" s="28" t="s">
        <v>647</v>
      </c>
      <c r="D27" s="28" t="s">
        <v>648</v>
      </c>
    </row>
    <row r="29" spans="2:4" x14ac:dyDescent="0.25">
      <c r="B29" s="237" t="s">
        <v>758</v>
      </c>
    </row>
    <row r="30" spans="2:4" x14ac:dyDescent="0.25">
      <c r="B30" s="149" t="s">
        <v>759</v>
      </c>
    </row>
    <row r="32" spans="2:4" x14ac:dyDescent="0.25">
      <c r="B32" s="48"/>
    </row>
    <row r="33" spans="2:3" x14ac:dyDescent="0.25">
      <c r="C33" s="47"/>
    </row>
    <row r="35" spans="2:3" x14ac:dyDescent="0.25">
      <c r="B35" t="s">
        <v>210</v>
      </c>
    </row>
    <row r="36" spans="2:3" x14ac:dyDescent="0.25">
      <c r="B36" t="s">
        <v>211</v>
      </c>
      <c r="C36" t="s">
        <v>212</v>
      </c>
    </row>
    <row r="37" spans="2:3" x14ac:dyDescent="0.25">
      <c r="B37" s="27" t="s">
        <v>213</v>
      </c>
      <c r="C37" t="s">
        <v>214</v>
      </c>
    </row>
    <row r="38" spans="2:3" x14ac:dyDescent="0.25">
      <c r="B38" t="s">
        <v>258</v>
      </c>
      <c r="C38" t="s">
        <v>259</v>
      </c>
    </row>
    <row r="39" spans="2:3" x14ac:dyDescent="0.25">
      <c r="B39" s="27" t="s">
        <v>302</v>
      </c>
      <c r="C39" t="s">
        <v>303</v>
      </c>
    </row>
    <row r="40" spans="2:3" x14ac:dyDescent="0.25">
      <c r="B40" s="27" t="s">
        <v>322</v>
      </c>
      <c r="C40" t="s">
        <v>323</v>
      </c>
    </row>
    <row r="41" spans="2:3" x14ac:dyDescent="0.25">
      <c r="B41" s="27" t="s">
        <v>324</v>
      </c>
      <c r="C41" t="s">
        <v>325</v>
      </c>
    </row>
    <row r="42" spans="2:3" x14ac:dyDescent="0.25">
      <c r="C42" t="s">
        <v>326</v>
      </c>
    </row>
    <row r="43" spans="2:3" x14ac:dyDescent="0.25">
      <c r="C43" t="s">
        <v>327</v>
      </c>
    </row>
    <row r="44" spans="2:3" x14ac:dyDescent="0.25">
      <c r="B44" s="27" t="s">
        <v>328</v>
      </c>
      <c r="C44" t="s">
        <v>329</v>
      </c>
    </row>
    <row r="45" spans="2:3" x14ac:dyDescent="0.25">
      <c r="C45" t="s">
        <v>330</v>
      </c>
    </row>
    <row r="46" spans="2:3" x14ac:dyDescent="0.25">
      <c r="C46" t="s">
        <v>332</v>
      </c>
    </row>
    <row r="47" spans="2:3" x14ac:dyDescent="0.25">
      <c r="C47" t="s">
        <v>331</v>
      </c>
    </row>
    <row r="48" spans="2:3" x14ac:dyDescent="0.25">
      <c r="B48" t="s">
        <v>333</v>
      </c>
      <c r="C48" t="s">
        <v>360</v>
      </c>
    </row>
    <row r="49" spans="2:3" x14ac:dyDescent="0.25">
      <c r="B49" t="s">
        <v>334</v>
      </c>
      <c r="C49" t="s">
        <v>335</v>
      </c>
    </row>
    <row r="50" spans="2:3" x14ac:dyDescent="0.25">
      <c r="B50" t="s">
        <v>338</v>
      </c>
      <c r="C50" t="s">
        <v>339</v>
      </c>
    </row>
    <row r="51" spans="2:3" x14ac:dyDescent="0.25">
      <c r="C51" t="s">
        <v>340</v>
      </c>
    </row>
    <row r="52" spans="2:3" x14ac:dyDescent="0.25">
      <c r="C52" t="s">
        <v>341</v>
      </c>
    </row>
    <row r="53" spans="2:3" x14ac:dyDescent="0.25">
      <c r="C53" t="s">
        <v>342</v>
      </c>
    </row>
    <row r="54" spans="2:3" x14ac:dyDescent="0.25">
      <c r="B54" t="s">
        <v>345</v>
      </c>
      <c r="C54" t="s">
        <v>346</v>
      </c>
    </row>
    <row r="55" spans="2:3" x14ac:dyDescent="0.25">
      <c r="C55" t="s">
        <v>347</v>
      </c>
    </row>
    <row r="56" spans="2:3" x14ac:dyDescent="0.25">
      <c r="B56" t="s">
        <v>350</v>
      </c>
      <c r="C56" t="s">
        <v>351</v>
      </c>
    </row>
    <row r="57" spans="2:3" x14ac:dyDescent="0.25">
      <c r="C57" t="s">
        <v>353</v>
      </c>
    </row>
    <row r="58" spans="2:3" x14ac:dyDescent="0.25">
      <c r="C58" t="s">
        <v>354</v>
      </c>
    </row>
    <row r="59" spans="2:3" x14ac:dyDescent="0.25">
      <c r="C59" t="s">
        <v>356</v>
      </c>
    </row>
    <row r="60" spans="2:3" x14ac:dyDescent="0.25">
      <c r="C60" t="s">
        <v>358</v>
      </c>
    </row>
    <row r="61" spans="2:3" x14ac:dyDescent="0.25">
      <c r="C61" t="s">
        <v>361</v>
      </c>
    </row>
    <row r="62" spans="2:3" x14ac:dyDescent="0.25">
      <c r="C62" t="s">
        <v>362</v>
      </c>
    </row>
    <row r="63" spans="2:3" x14ac:dyDescent="0.25">
      <c r="B63" t="s">
        <v>334</v>
      </c>
      <c r="C63" t="s">
        <v>359</v>
      </c>
    </row>
    <row r="64" spans="2:3" x14ac:dyDescent="0.25">
      <c r="B64" s="68" t="s">
        <v>363</v>
      </c>
      <c r="C64" t="s">
        <v>364</v>
      </c>
    </row>
    <row r="65" spans="2:14" x14ac:dyDescent="0.25">
      <c r="C65" t="s">
        <v>368</v>
      </c>
    </row>
    <row r="66" spans="2:14" x14ac:dyDescent="0.25">
      <c r="C66" t="s">
        <v>372</v>
      </c>
    </row>
    <row r="67" spans="2:14" x14ac:dyDescent="0.25">
      <c r="C67" t="s">
        <v>373</v>
      </c>
    </row>
    <row r="68" spans="2:14" x14ac:dyDescent="0.25">
      <c r="B68" t="s">
        <v>370</v>
      </c>
      <c r="C68" t="s">
        <v>374</v>
      </c>
    </row>
    <row r="69" spans="2:14" x14ac:dyDescent="0.25">
      <c r="B69" t="s">
        <v>423</v>
      </c>
      <c r="C69" t="s">
        <v>424</v>
      </c>
    </row>
    <row r="70" spans="2:14" x14ac:dyDescent="0.25">
      <c r="B70" t="s">
        <v>425</v>
      </c>
      <c r="C70" t="s">
        <v>426</v>
      </c>
    </row>
    <row r="71" spans="2:14" x14ac:dyDescent="0.25">
      <c r="C71" t="s">
        <v>427</v>
      </c>
    </row>
    <row r="72" spans="2:14" x14ac:dyDescent="0.25">
      <c r="B72" t="s">
        <v>654</v>
      </c>
    </row>
    <row r="73" spans="2:14" x14ac:dyDescent="0.25">
      <c r="B73" s="147" t="s">
        <v>554</v>
      </c>
      <c r="C73" s="146" t="s">
        <v>555</v>
      </c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</row>
    <row r="74" spans="2:14" x14ac:dyDescent="0.25">
      <c r="B74" s="68" t="s">
        <v>556</v>
      </c>
      <c r="C74" t="s">
        <v>557</v>
      </c>
    </row>
    <row r="75" spans="2:14" x14ac:dyDescent="0.25">
      <c r="C75" t="s">
        <v>558</v>
      </c>
    </row>
    <row r="76" spans="2:14" x14ac:dyDescent="0.25">
      <c r="C76" t="s">
        <v>559</v>
      </c>
    </row>
    <row r="77" spans="2:14" x14ac:dyDescent="0.25">
      <c r="C77" t="s">
        <v>560</v>
      </c>
    </row>
    <row r="78" spans="2:14" x14ac:dyDescent="0.25">
      <c r="C78" t="s">
        <v>561</v>
      </c>
    </row>
    <row r="79" spans="2:14" x14ac:dyDescent="0.25">
      <c r="C79" t="s">
        <v>562</v>
      </c>
    </row>
    <row r="80" spans="2:14" x14ac:dyDescent="0.25">
      <c r="C80" t="s">
        <v>563</v>
      </c>
    </row>
    <row r="81" spans="2:3" x14ac:dyDescent="0.25">
      <c r="C81" t="s">
        <v>564</v>
      </c>
    </row>
    <row r="82" spans="2:3" x14ac:dyDescent="0.25">
      <c r="C82" s="27" t="s">
        <v>565</v>
      </c>
    </row>
    <row r="83" spans="2:3" x14ac:dyDescent="0.25">
      <c r="C83" t="s">
        <v>566</v>
      </c>
    </row>
    <row r="84" spans="2:3" x14ac:dyDescent="0.25">
      <c r="C84" t="s">
        <v>567</v>
      </c>
    </row>
    <row r="85" spans="2:3" x14ac:dyDescent="0.25">
      <c r="C85" t="s">
        <v>568</v>
      </c>
    </row>
    <row r="86" spans="2:3" x14ac:dyDescent="0.25">
      <c r="B86" s="148" t="s">
        <v>569</v>
      </c>
      <c r="C86" t="s">
        <v>570</v>
      </c>
    </row>
    <row r="87" spans="2:3" x14ac:dyDescent="0.25">
      <c r="C87" t="s">
        <v>571</v>
      </c>
    </row>
    <row r="88" spans="2:3" x14ac:dyDescent="0.25">
      <c r="C88" t="s">
        <v>572</v>
      </c>
    </row>
    <row r="89" spans="2:3" x14ac:dyDescent="0.25">
      <c r="C89" t="s">
        <v>573</v>
      </c>
    </row>
    <row r="90" spans="2:3" x14ac:dyDescent="0.25">
      <c r="C90" t="s">
        <v>574</v>
      </c>
    </row>
    <row r="91" spans="2:3" x14ac:dyDescent="0.25">
      <c r="C91" t="s">
        <v>575</v>
      </c>
    </row>
    <row r="92" spans="2:3" x14ac:dyDescent="0.25">
      <c r="C92" t="s">
        <v>576</v>
      </c>
    </row>
    <row r="93" spans="2:3" x14ac:dyDescent="0.25">
      <c r="C93" t="s">
        <v>577</v>
      </c>
    </row>
    <row r="94" spans="2:3" x14ac:dyDescent="0.25">
      <c r="B94" s="149" t="s">
        <v>578</v>
      </c>
      <c r="C94" t="s">
        <v>579</v>
      </c>
    </row>
    <row r="95" spans="2:3" x14ac:dyDescent="0.25">
      <c r="B95" s="149"/>
      <c r="C95" t="s">
        <v>580</v>
      </c>
    </row>
    <row r="96" spans="2:3" x14ac:dyDescent="0.25">
      <c r="B96" s="149"/>
      <c r="C96" t="s">
        <v>581</v>
      </c>
    </row>
    <row r="97" spans="2:3" x14ac:dyDescent="0.25">
      <c r="C97" t="s">
        <v>582</v>
      </c>
    </row>
    <row r="98" spans="2:3" x14ac:dyDescent="0.25">
      <c r="C98" t="s">
        <v>583</v>
      </c>
    </row>
    <row r="99" spans="2:3" x14ac:dyDescent="0.25">
      <c r="C99" t="s">
        <v>584</v>
      </c>
    </row>
    <row r="100" spans="2:3" x14ac:dyDescent="0.25">
      <c r="C100" t="s">
        <v>585</v>
      </c>
    </row>
    <row r="101" spans="2:3" x14ac:dyDescent="0.25">
      <c r="C101" t="s">
        <v>586</v>
      </c>
    </row>
    <row r="102" spans="2:3" x14ac:dyDescent="0.25">
      <c r="B102" s="149" t="s">
        <v>587</v>
      </c>
      <c r="C102" t="s">
        <v>588</v>
      </c>
    </row>
    <row r="103" spans="2:3" x14ac:dyDescent="0.25">
      <c r="C103" t="s">
        <v>589</v>
      </c>
    </row>
    <row r="104" spans="2:3" x14ac:dyDescent="0.25">
      <c r="C104" t="s">
        <v>590</v>
      </c>
    </row>
    <row r="105" spans="2:3" x14ac:dyDescent="0.25">
      <c r="B105" s="147" t="s">
        <v>591</v>
      </c>
      <c r="C105" t="s">
        <v>592</v>
      </c>
    </row>
    <row r="106" spans="2:3" x14ac:dyDescent="0.25">
      <c r="B106" s="68"/>
      <c r="C106" t="s">
        <v>593</v>
      </c>
    </row>
    <row r="107" spans="2:3" x14ac:dyDescent="0.25">
      <c r="B107" s="149" t="s">
        <v>594</v>
      </c>
      <c r="C107" t="s">
        <v>595</v>
      </c>
    </row>
    <row r="108" spans="2:3" x14ac:dyDescent="0.25">
      <c r="C108" t="s">
        <v>596</v>
      </c>
    </row>
    <row r="109" spans="2:3" x14ac:dyDescent="0.25">
      <c r="C109" t="s">
        <v>597</v>
      </c>
    </row>
    <row r="110" spans="2:3" x14ac:dyDescent="0.25">
      <c r="C110" t="s">
        <v>598</v>
      </c>
    </row>
    <row r="111" spans="2:3" x14ac:dyDescent="0.25">
      <c r="B111" s="68" t="s">
        <v>599</v>
      </c>
      <c r="C111" t="s">
        <v>600</v>
      </c>
    </row>
    <row r="112" spans="2:3" x14ac:dyDescent="0.25">
      <c r="B112" s="149" t="s">
        <v>601</v>
      </c>
      <c r="C112" t="s">
        <v>602</v>
      </c>
    </row>
    <row r="113" spans="2:3" x14ac:dyDescent="0.25">
      <c r="C113" t="s">
        <v>603</v>
      </c>
    </row>
    <row r="114" spans="2:3" x14ac:dyDescent="0.25">
      <c r="B114" s="149" t="s">
        <v>604</v>
      </c>
      <c r="C114" t="s">
        <v>605</v>
      </c>
    </row>
    <row r="115" spans="2:3" x14ac:dyDescent="0.25">
      <c r="B115" s="68" t="s">
        <v>622</v>
      </c>
      <c r="C115" t="s">
        <v>623</v>
      </c>
    </row>
    <row r="116" spans="2:3" x14ac:dyDescent="0.25">
      <c r="B116" t="s">
        <v>655</v>
      </c>
    </row>
    <row r="118" spans="2:3" x14ac:dyDescent="0.25">
      <c r="B118" t="s">
        <v>624</v>
      </c>
      <c r="C118" t="s">
        <v>625</v>
      </c>
    </row>
    <row r="119" spans="2:3" x14ac:dyDescent="0.25">
      <c r="B119" t="s">
        <v>626</v>
      </c>
      <c r="C119" t="s">
        <v>627</v>
      </c>
    </row>
    <row r="120" spans="2:3" x14ac:dyDescent="0.25">
      <c r="C120" t="s">
        <v>630</v>
      </c>
    </row>
    <row r="121" spans="2:3" x14ac:dyDescent="0.25">
      <c r="B121" t="s">
        <v>652</v>
      </c>
      <c r="C121" t="s">
        <v>651</v>
      </c>
    </row>
    <row r="122" spans="2:3" x14ac:dyDescent="0.25">
      <c r="B122" t="s">
        <v>652</v>
      </c>
      <c r="C122" t="s">
        <v>653</v>
      </c>
    </row>
    <row r="123" spans="2:3" x14ac:dyDescent="0.25">
      <c r="B123" s="27" t="s">
        <v>631</v>
      </c>
      <c r="C123" t="s">
        <v>640</v>
      </c>
    </row>
    <row r="124" spans="2:3" x14ac:dyDescent="0.25">
      <c r="C124" t="s">
        <v>645</v>
      </c>
    </row>
    <row r="125" spans="2:3" x14ac:dyDescent="0.25">
      <c r="C125" t="s">
        <v>649</v>
      </c>
    </row>
    <row r="126" spans="2:3" x14ac:dyDescent="0.25">
      <c r="B126" t="s">
        <v>650</v>
      </c>
      <c r="C126" t="s">
        <v>656</v>
      </c>
    </row>
    <row r="127" spans="2:3" x14ac:dyDescent="0.25">
      <c r="C127" t="s">
        <v>657</v>
      </c>
    </row>
    <row r="128" spans="2:3" x14ac:dyDescent="0.25">
      <c r="C128" t="s">
        <v>660</v>
      </c>
    </row>
    <row r="129" spans="2:3" x14ac:dyDescent="0.25">
      <c r="C129" t="s">
        <v>686</v>
      </c>
    </row>
    <row r="130" spans="2:3" x14ac:dyDescent="0.25">
      <c r="C130" t="s">
        <v>687</v>
      </c>
    </row>
    <row r="131" spans="2:3" x14ac:dyDescent="0.25">
      <c r="B131" t="s">
        <v>688</v>
      </c>
      <c r="C131" t="s">
        <v>689</v>
      </c>
    </row>
    <row r="132" spans="2:3" x14ac:dyDescent="0.25">
      <c r="B132" t="s">
        <v>718</v>
      </c>
      <c r="C132" t="s">
        <v>719</v>
      </c>
    </row>
    <row r="133" spans="2:3" x14ac:dyDescent="0.25">
      <c r="C133" t="s">
        <v>725</v>
      </c>
    </row>
    <row r="134" spans="2:3" x14ac:dyDescent="0.25">
      <c r="B134" t="s">
        <v>726</v>
      </c>
      <c r="C134" t="s">
        <v>727</v>
      </c>
    </row>
    <row r="135" spans="2:3" x14ac:dyDescent="0.25">
      <c r="B135" t="s">
        <v>798</v>
      </c>
      <c r="C135" t="s">
        <v>799</v>
      </c>
    </row>
    <row r="136" spans="2:3" x14ac:dyDescent="0.25">
      <c r="B136" t="s">
        <v>831</v>
      </c>
      <c r="C136" t="s">
        <v>832</v>
      </c>
    </row>
    <row r="137" spans="2:3" x14ac:dyDescent="0.25">
      <c r="C137" t="s">
        <v>833</v>
      </c>
    </row>
    <row r="138" spans="2:3" x14ac:dyDescent="0.25">
      <c r="C138" t="s">
        <v>834</v>
      </c>
    </row>
    <row r="139" spans="2:3" x14ac:dyDescent="0.25">
      <c r="B139" s="27" t="s">
        <v>838</v>
      </c>
      <c r="C139" t="s">
        <v>839</v>
      </c>
    </row>
    <row r="140" spans="2:3" x14ac:dyDescent="0.25">
      <c r="C140" t="s">
        <v>840</v>
      </c>
    </row>
    <row r="141" spans="2:3" x14ac:dyDescent="0.25">
      <c r="B141" t="s">
        <v>841</v>
      </c>
      <c r="C141" t="s">
        <v>842</v>
      </c>
    </row>
    <row r="142" spans="2:3" x14ac:dyDescent="0.25">
      <c r="C142" t="s">
        <v>843</v>
      </c>
    </row>
    <row r="143" spans="2:3" x14ac:dyDescent="0.25">
      <c r="B143" t="s">
        <v>844</v>
      </c>
      <c r="C143" t="s">
        <v>845</v>
      </c>
    </row>
    <row r="144" spans="2:3" x14ac:dyDescent="0.25">
      <c r="C144" t="s">
        <v>850</v>
      </c>
    </row>
    <row r="145" spans="2:3" x14ac:dyDescent="0.25">
      <c r="C145" t="s">
        <v>852</v>
      </c>
    </row>
    <row r="146" spans="2:3" x14ac:dyDescent="0.25">
      <c r="B146" t="s">
        <v>853</v>
      </c>
      <c r="C146" t="s">
        <v>854</v>
      </c>
    </row>
    <row r="147" spans="2:3" x14ac:dyDescent="0.25">
      <c r="C147" t="s">
        <v>855</v>
      </c>
    </row>
    <row r="148" spans="2:3" x14ac:dyDescent="0.25">
      <c r="C148" t="s">
        <v>856</v>
      </c>
    </row>
    <row r="149" spans="2:3" x14ac:dyDescent="0.25">
      <c r="B149" t="s">
        <v>868</v>
      </c>
      <c r="C149" t="s">
        <v>869</v>
      </c>
    </row>
    <row r="150" spans="2:3" x14ac:dyDescent="0.25">
      <c r="C150" t="s">
        <v>870</v>
      </c>
    </row>
    <row r="151" spans="2:3" x14ac:dyDescent="0.25">
      <c r="C151" t="s">
        <v>872</v>
      </c>
    </row>
    <row r="152" spans="2:3" x14ac:dyDescent="0.25">
      <c r="C152" t="s">
        <v>873</v>
      </c>
    </row>
    <row r="153" spans="2:3" x14ac:dyDescent="0.25">
      <c r="B153" t="s">
        <v>874</v>
      </c>
      <c r="C153" t="s">
        <v>875</v>
      </c>
    </row>
    <row r="154" spans="2:3" x14ac:dyDescent="0.25">
      <c r="C154" t="s">
        <v>876</v>
      </c>
    </row>
    <row r="155" spans="2:3" x14ac:dyDescent="0.25">
      <c r="C155" t="s">
        <v>877</v>
      </c>
    </row>
    <row r="156" spans="2:3" x14ac:dyDescent="0.25">
      <c r="B156" t="s">
        <v>878</v>
      </c>
      <c r="C156" t="s">
        <v>879</v>
      </c>
    </row>
    <row r="157" spans="2:3" x14ac:dyDescent="0.25">
      <c r="C157" t="s">
        <v>880</v>
      </c>
    </row>
    <row r="158" spans="2:3" x14ac:dyDescent="0.25">
      <c r="C158" t="s">
        <v>881</v>
      </c>
    </row>
    <row r="159" spans="2:3" x14ac:dyDescent="0.25">
      <c r="C159" t="s">
        <v>882</v>
      </c>
    </row>
    <row r="160" spans="2:3" x14ac:dyDescent="0.25">
      <c r="C160" t="s">
        <v>884</v>
      </c>
    </row>
    <row r="161" spans="2:3" x14ac:dyDescent="0.25">
      <c r="B161" t="s">
        <v>885</v>
      </c>
      <c r="C161" t="s">
        <v>886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50"/>
  <sheetViews>
    <sheetView workbookViewId="0">
      <selection activeCell="K17" sqref="K17"/>
    </sheetView>
  </sheetViews>
  <sheetFormatPr defaultRowHeight="15" x14ac:dyDescent="0.25"/>
  <cols>
    <col min="1" max="1" width="4.28515625" customWidth="1"/>
    <col min="3" max="12" width="10" customWidth="1"/>
    <col min="15" max="15" width="10" customWidth="1"/>
    <col min="18" max="18" width="10" customWidth="1"/>
    <col min="21" max="21" width="10" customWidth="1"/>
  </cols>
  <sheetData>
    <row r="1" spans="1:34" x14ac:dyDescent="0.25">
      <c r="B1" s="71" t="s">
        <v>807</v>
      </c>
      <c r="C1" s="71" t="s">
        <v>808</v>
      </c>
      <c r="D1" s="71" t="s">
        <v>809</v>
      </c>
      <c r="E1" s="71" t="s">
        <v>810</v>
      </c>
      <c r="F1" s="71" t="s">
        <v>811</v>
      </c>
      <c r="G1" s="71" t="s">
        <v>812</v>
      </c>
      <c r="H1" s="71" t="s">
        <v>813</v>
      </c>
      <c r="I1" s="71" t="s">
        <v>814</v>
      </c>
      <c r="J1" s="71" t="s">
        <v>815</v>
      </c>
      <c r="K1" s="71" t="s">
        <v>816</v>
      </c>
      <c r="L1" s="71" t="s">
        <v>817</v>
      </c>
      <c r="M1" s="71" t="s">
        <v>818</v>
      </c>
      <c r="N1" s="71" t="s">
        <v>819</v>
      </c>
      <c r="O1" s="71" t="s">
        <v>820</v>
      </c>
      <c r="P1" s="71" t="s">
        <v>821</v>
      </c>
      <c r="Q1" s="71" t="s">
        <v>822</v>
      </c>
      <c r="R1" s="71" t="s">
        <v>823</v>
      </c>
      <c r="S1" s="71" t="s">
        <v>824</v>
      </c>
      <c r="T1" s="71" t="s">
        <v>825</v>
      </c>
      <c r="U1" s="71" t="s">
        <v>826</v>
      </c>
      <c r="V1" s="71" t="s">
        <v>827</v>
      </c>
      <c r="W1" s="71" t="s">
        <v>828</v>
      </c>
      <c r="X1" s="71" t="s">
        <v>829</v>
      </c>
      <c r="Y1" s="71"/>
      <c r="Z1" s="71"/>
    </row>
    <row r="2" spans="1:34" ht="15.75" x14ac:dyDescent="0.25">
      <c r="A2">
        <v>2</v>
      </c>
      <c r="B2" s="223" t="s">
        <v>728</v>
      </c>
      <c r="C2" s="201"/>
      <c r="D2" s="201"/>
      <c r="E2" s="201"/>
      <c r="F2" s="201"/>
      <c r="G2" s="201"/>
      <c r="H2" s="201"/>
      <c r="I2" s="129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</row>
    <row r="3" spans="1:34" x14ac:dyDescent="0.25">
      <c r="A3">
        <v>3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</row>
    <row r="4" spans="1:34" x14ac:dyDescent="0.25">
      <c r="A4">
        <v>4</v>
      </c>
      <c r="B4" s="214" t="s">
        <v>729</v>
      </c>
      <c r="C4" s="201"/>
      <c r="D4" s="201"/>
      <c r="E4" s="214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</row>
    <row r="5" spans="1:34" x14ac:dyDescent="0.25">
      <c r="A5">
        <v>5</v>
      </c>
      <c r="B5" s="202"/>
      <c r="C5" s="202" t="s">
        <v>462</v>
      </c>
      <c r="D5" s="201"/>
      <c r="E5" s="202" t="s">
        <v>493</v>
      </c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</row>
    <row r="6" spans="1:34" x14ac:dyDescent="0.25">
      <c r="A6">
        <v>6</v>
      </c>
      <c r="B6" s="203" t="s">
        <v>494</v>
      </c>
      <c r="C6" s="202">
        <v>550</v>
      </c>
      <c r="D6" s="201"/>
      <c r="E6" s="202">
        <f>C6-('1. СФ-ШС-24'!C8*C$12+'1. СФ-ШС-24'!F8*D$12+'1. СФ-ШС-24'!I8*E$12+'1. СФ-ШС-24'!L8*F$12+'1. СФ-ШС-24'!O8*G$12+'1. СФ-ШС-24'!R8*H$12+'1. СФ-ШС-24'!X8*I$12+'1. СФ-ШС-24'!U8*J12+'1. СФ-ШС-24'!F17*D$19+'1. СФ-ШС-24'!C17*C$19+'1. СФ-ШС-24'!I17*E$19+'1. СФ-ШС-24'!R17*H$19+'1. СФ-ШС-24'!L17*F$19+'1. СФ-ШС-24'!O17*G$19)</f>
        <v>550</v>
      </c>
      <c r="F6" s="201" t="s">
        <v>495</v>
      </c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</row>
    <row r="7" spans="1:34" x14ac:dyDescent="0.25">
      <c r="A7">
        <v>7</v>
      </c>
      <c r="B7" s="203" t="s">
        <v>496</v>
      </c>
      <c r="C7" s="202">
        <v>550</v>
      </c>
      <c r="D7" s="201"/>
      <c r="E7" s="202">
        <f>C7-('1. СФ-ШС-24'!C9*C$12+'1. СФ-ШС-24'!F9*D$12+'1. СФ-ШС-24'!I9*E$12+'1. СФ-ШС-24'!L9*F$12+'1. СФ-ШС-24'!O9*G$12+'1. СФ-ШС-24'!R9*H$12+'1. СФ-ШС-24'!X9*I$12+'1. СФ-ШС-24'!U9*J13+'1. СФ-ШС-24'!F18*D$19+'1. СФ-ШС-24'!C18*C$19+'1. СФ-ШС-24'!I18*E$19+'1. СФ-ШС-24'!R18*H$19+'1. СФ-ШС-24'!L18*F$19+'1. СФ-ШС-24'!O18*G$19)</f>
        <v>550</v>
      </c>
      <c r="F7" s="201" t="s">
        <v>497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</row>
    <row r="8" spans="1:34" x14ac:dyDescent="0.25">
      <c r="A8">
        <v>8</v>
      </c>
      <c r="B8" s="203" t="s">
        <v>498</v>
      </c>
      <c r="C8" s="202">
        <v>550</v>
      </c>
      <c r="D8" s="201"/>
      <c r="E8" s="202">
        <f>C8-('1. СФ-ШС-24'!C10*C12+'1. СФ-ШС-24'!F10*D12+'1. СФ-ШС-24'!I10*E12+'1. СФ-ШС-24'!L10*F12+'1. СФ-ШС-24'!O10*G12+'1. СФ-ШС-24'!R10*H12+'1. СФ-ШС-24'!X10*I12+'1. СФ-ШС-24'!U10*J12+'1. СФ-ШС-24'!F19*D19+'1. СФ-ШС-24'!C19*C19+'1. СФ-ШС-24'!I19*E19+'1. СФ-ШС-24'!R19*H19+'1. СФ-ШС-24'!L19*F19+'1. СФ-ШС-24'!O19*G19)-('1. СФ-ШС-24'!C11*C13+'1. СФ-ШС-24'!F11*D13+'1. СФ-ШС-24'!I11*E13+'1. СФ-ШС-24'!L11*F13+'1. СФ-ШС-24'!O11*G13+'1. СФ-ШС-24'!F20*D20+'1. СФ-ШС-24'!C20*C20+'1. СФ-ШС-24'!I20*E20+'1. СФ-ШС-24'!R20*H20+'1. СФ-ШС-24'!L20*F20+'1. СФ-ШС-24'!O20*G20+('1. СФ-ШС-24'!U11&gt;1)*('1. СФ-ШС-24'!U11-1)*J13)-K13-J26*E13</f>
        <v>417</v>
      </c>
      <c r="F8" s="201" t="s">
        <v>499</v>
      </c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</row>
    <row r="9" spans="1:34" x14ac:dyDescent="0.25">
      <c r="A9">
        <v>9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</row>
    <row r="10" spans="1:34" x14ac:dyDescent="0.25">
      <c r="A10">
        <v>10</v>
      </c>
      <c r="B10" s="201" t="s">
        <v>730</v>
      </c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129"/>
      <c r="Y10" s="129"/>
      <c r="Z10" s="129"/>
      <c r="AA10" s="188"/>
      <c r="AB10" s="188"/>
      <c r="AC10" s="188"/>
      <c r="AD10" s="188"/>
      <c r="AE10" s="188"/>
      <c r="AF10" s="188"/>
      <c r="AG10" s="188"/>
      <c r="AH10" s="188"/>
    </row>
    <row r="11" spans="1:34" x14ac:dyDescent="0.25">
      <c r="A11">
        <v>11</v>
      </c>
      <c r="B11" s="201"/>
      <c r="C11" s="227" t="s">
        <v>500</v>
      </c>
      <c r="D11" s="227" t="s">
        <v>501</v>
      </c>
      <c r="E11" s="227" t="s">
        <v>540</v>
      </c>
      <c r="F11" s="227" t="s">
        <v>502</v>
      </c>
      <c r="G11" s="227" t="s">
        <v>503</v>
      </c>
      <c r="H11" s="227" t="s">
        <v>504</v>
      </c>
      <c r="I11" s="227" t="s">
        <v>505</v>
      </c>
      <c r="J11" s="228" t="s">
        <v>506</v>
      </c>
      <c r="K11" s="229" t="s">
        <v>606</v>
      </c>
      <c r="L11" s="188"/>
      <c r="AA11" s="226"/>
      <c r="AB11" s="188"/>
      <c r="AC11" s="188"/>
      <c r="AD11" s="188"/>
      <c r="AE11" s="188"/>
      <c r="AF11" s="188"/>
      <c r="AG11" s="188"/>
      <c r="AH11" s="188"/>
    </row>
    <row r="12" spans="1:34" x14ac:dyDescent="0.25">
      <c r="A12">
        <v>12</v>
      </c>
      <c r="B12" s="203" t="s">
        <v>507</v>
      </c>
      <c r="C12" s="230">
        <v>137</v>
      </c>
      <c r="D12" s="230">
        <v>96</v>
      </c>
      <c r="E12" s="230">
        <v>192</v>
      </c>
      <c r="F12" s="230">
        <v>96</v>
      </c>
      <c r="G12" s="230">
        <v>96</v>
      </c>
      <c r="H12" s="230">
        <v>96</v>
      </c>
      <c r="I12" s="230">
        <v>22.5</v>
      </c>
      <c r="J12" s="229">
        <v>45</v>
      </c>
      <c r="K12" s="231">
        <v>192</v>
      </c>
      <c r="L12" s="207" t="s">
        <v>508</v>
      </c>
      <c r="AA12" s="226"/>
      <c r="AB12" s="188"/>
      <c r="AC12" s="226"/>
      <c r="AD12" s="188"/>
      <c r="AE12" s="188"/>
      <c r="AF12" s="188"/>
      <c r="AG12" s="188"/>
      <c r="AH12" s="188"/>
    </row>
    <row r="13" spans="1:34" x14ac:dyDescent="0.25">
      <c r="A13">
        <v>13</v>
      </c>
      <c r="B13" s="201" t="s">
        <v>509</v>
      </c>
      <c r="C13" s="232">
        <f>8*Ls+Le+Ld</f>
        <v>55</v>
      </c>
      <c r="D13" s="232">
        <f>8*Ls+Le+Ld</f>
        <v>55</v>
      </c>
      <c r="E13" s="232">
        <f>2*Ls+Le+Ld</f>
        <v>19</v>
      </c>
      <c r="F13" s="232">
        <f>6*Ls+Le+Ld</f>
        <v>43</v>
      </c>
      <c r="G13" s="232">
        <f>4*Ls+Le+Ld</f>
        <v>31</v>
      </c>
      <c r="H13" s="232">
        <v>0</v>
      </c>
      <c r="I13" s="232">
        <v>0</v>
      </c>
      <c r="J13" s="233">
        <f>2*Ls+Le+Ld</f>
        <v>19</v>
      </c>
      <c r="K13" s="231">
        <f>Lstop*(2+('1. СФ-ШС-24'!U11=0))+3*Lpow+2*Ls+Ld+Le+OR('1. СФ-ШС-24'!C34=B52,'1. СФ-ШС-24'!C34=B53,'1. СФ-ШС-24'!H44=B82)*(Le+Ld)+Ls*(('1. СФ-ШС-24'!C34=B53)*2+('1. СФ-ШС-24'!C34=B52)+('1. СФ-ШС-24'!H44=B82))</f>
        <v>88</v>
      </c>
      <c r="L13" s="207" t="s">
        <v>510</v>
      </c>
      <c r="AA13" s="226"/>
      <c r="AB13" s="188"/>
      <c r="AC13" s="226"/>
      <c r="AD13" s="188"/>
      <c r="AE13" s="188"/>
      <c r="AF13" s="188"/>
      <c r="AG13" s="188"/>
      <c r="AH13" s="188"/>
    </row>
    <row r="14" spans="1:34" x14ac:dyDescent="0.25">
      <c r="A14">
        <v>14</v>
      </c>
      <c r="B14" s="203" t="s">
        <v>511</v>
      </c>
      <c r="C14" s="230"/>
      <c r="D14" s="230"/>
      <c r="E14" s="230">
        <v>4</v>
      </c>
      <c r="F14" s="230"/>
      <c r="G14" s="230"/>
      <c r="H14" s="230">
        <v>1</v>
      </c>
      <c r="I14" s="230">
        <f>IF('1. СФ-ШС-24'!C12=B40,ДДанные!T14,'1. СФ-ШС-24'!C11*8)+IF('1. СФ-ШС-24'!F12=B46,ДДанные!T26,'1. СФ-ШС-24'!F11*8)+IF('1. СФ-ШС-24'!O12=0,'1. СФ-ШС-24'!O11*4,IF('1. СФ-ШС-24'!O12&lt;='1. СФ-ШС-24'!O11*4,'1. СФ-ШС-24'!O12,4*'1. СФ-ШС-24'!O11))</f>
        <v>0</v>
      </c>
      <c r="J14" s="229"/>
      <c r="K14" s="231"/>
      <c r="L14" s="205" t="s">
        <v>512</v>
      </c>
      <c r="AA14" s="226"/>
      <c r="AB14" s="188"/>
      <c r="AC14" s="226"/>
      <c r="AD14" s="188"/>
      <c r="AE14" s="188"/>
      <c r="AF14" s="188"/>
      <c r="AG14" s="188"/>
      <c r="AH14" s="188"/>
    </row>
    <row r="15" spans="1:34" x14ac:dyDescent="0.25">
      <c r="A15">
        <v>15</v>
      </c>
      <c r="B15" s="203" t="s">
        <v>513</v>
      </c>
      <c r="C15" s="230">
        <v>5</v>
      </c>
      <c r="D15" s="230">
        <v>5</v>
      </c>
      <c r="E15" s="230">
        <v>3</v>
      </c>
      <c r="F15" s="230">
        <v>5</v>
      </c>
      <c r="G15" s="230">
        <v>5</v>
      </c>
      <c r="H15" s="230">
        <v>2</v>
      </c>
      <c r="I15" s="230" t="s">
        <v>514</v>
      </c>
      <c r="J15" s="229">
        <v>3</v>
      </c>
      <c r="K15" s="231"/>
      <c r="L15" s="205" t="s">
        <v>515</v>
      </c>
      <c r="AA15" s="226"/>
      <c r="AB15" s="188"/>
      <c r="AC15" s="226"/>
      <c r="AD15" s="188"/>
      <c r="AE15" s="188"/>
      <c r="AF15" s="188"/>
      <c r="AG15" s="188"/>
      <c r="AH15" s="188"/>
    </row>
    <row r="16" spans="1:34" x14ac:dyDescent="0.25">
      <c r="A16">
        <v>16</v>
      </c>
      <c r="D16" s="226"/>
      <c r="E16" s="226"/>
      <c r="G16" s="226"/>
      <c r="H16" s="226"/>
      <c r="J16" s="226"/>
      <c r="K16" s="226"/>
      <c r="M16" s="226"/>
      <c r="N16" s="226"/>
      <c r="P16" s="226"/>
      <c r="Q16" s="226"/>
      <c r="S16" s="226"/>
      <c r="T16" s="226"/>
      <c r="V16" s="226"/>
      <c r="W16" s="226"/>
      <c r="Y16" s="226"/>
      <c r="Z16" s="226"/>
      <c r="AA16" s="226"/>
      <c r="AB16" s="226"/>
      <c r="AC16" s="226"/>
      <c r="AD16" s="188"/>
      <c r="AE16" s="188"/>
      <c r="AF16" s="188"/>
      <c r="AG16" s="188"/>
      <c r="AH16" s="188"/>
    </row>
    <row r="17" spans="1:34" x14ac:dyDescent="0.25">
      <c r="A17">
        <v>17</v>
      </c>
      <c r="B17" s="129" t="s">
        <v>731</v>
      </c>
      <c r="C17" s="129"/>
      <c r="D17" s="129"/>
      <c r="E17" s="129"/>
      <c r="F17" s="129"/>
      <c r="G17" s="129"/>
      <c r="H17" s="129"/>
      <c r="I17" s="129"/>
      <c r="J17" s="188"/>
      <c r="K17" s="188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88"/>
      <c r="W17" s="188"/>
      <c r="X17" s="129"/>
      <c r="Y17" s="129"/>
      <c r="Z17" s="129"/>
      <c r="AA17" s="129"/>
      <c r="AD17" s="129"/>
      <c r="AE17" s="129"/>
      <c r="AF17" s="129"/>
      <c r="AG17" s="129"/>
      <c r="AH17" s="129"/>
    </row>
    <row r="18" spans="1:34" x14ac:dyDescent="0.25">
      <c r="A18">
        <v>18</v>
      </c>
      <c r="B18" s="201"/>
      <c r="C18" s="202" t="s">
        <v>516</v>
      </c>
      <c r="D18" s="202" t="s">
        <v>517</v>
      </c>
      <c r="E18" s="202" t="s">
        <v>518</v>
      </c>
      <c r="F18" s="202" t="s">
        <v>519</v>
      </c>
      <c r="G18" s="202" t="s">
        <v>520</v>
      </c>
      <c r="H18" s="202" t="s">
        <v>632</v>
      </c>
      <c r="I18" s="202" t="s">
        <v>633</v>
      </c>
      <c r="J18" s="214"/>
      <c r="K18" s="214"/>
      <c r="M18" s="226"/>
      <c r="N18" s="214"/>
      <c r="O18" s="226"/>
      <c r="P18" s="188"/>
      <c r="Q18" s="188"/>
      <c r="R18" s="188"/>
      <c r="S18" s="188"/>
      <c r="T18" s="226"/>
      <c r="U18" s="226"/>
      <c r="V18" s="226"/>
      <c r="W18" s="226"/>
      <c r="X18" s="226"/>
      <c r="Y18" s="226"/>
      <c r="Z18" s="226"/>
      <c r="AA18" s="226"/>
      <c r="AB18" s="188"/>
      <c r="AC18" s="188"/>
      <c r="AD18" s="129"/>
      <c r="AE18" s="129"/>
      <c r="AF18" s="129"/>
      <c r="AG18" s="129"/>
      <c r="AH18" s="129"/>
    </row>
    <row r="19" spans="1:34" x14ac:dyDescent="0.25">
      <c r="A19">
        <v>19</v>
      </c>
      <c r="B19" s="202" t="s">
        <v>507</v>
      </c>
      <c r="C19" s="202">
        <v>75.599999999999994</v>
      </c>
      <c r="D19" s="202">
        <v>25.2</v>
      </c>
      <c r="E19" s="202">
        <v>25.2</v>
      </c>
      <c r="F19" s="202">
        <v>25.2</v>
      </c>
      <c r="G19" s="202">
        <v>25.2</v>
      </c>
      <c r="H19" s="202">
        <v>25.2</v>
      </c>
      <c r="I19" s="202">
        <v>25.2</v>
      </c>
      <c r="J19" s="206" t="s">
        <v>508</v>
      </c>
      <c r="K19" s="226"/>
      <c r="L19" s="226"/>
      <c r="M19" s="226"/>
      <c r="N19" s="188"/>
      <c r="O19" s="188"/>
      <c r="P19" s="188"/>
      <c r="V19" s="226"/>
      <c r="W19" s="226"/>
      <c r="X19" s="226"/>
      <c r="Y19" s="226"/>
      <c r="Z19" s="226"/>
      <c r="AA19" s="226"/>
      <c r="AB19" s="188"/>
      <c r="AC19" s="188"/>
      <c r="AD19" s="129"/>
      <c r="AE19" s="129"/>
      <c r="AF19" s="129"/>
      <c r="AG19" s="129"/>
      <c r="AH19" s="129"/>
    </row>
    <row r="20" spans="1:34" x14ac:dyDescent="0.25">
      <c r="A20">
        <v>20</v>
      </c>
      <c r="B20" s="202" t="s">
        <v>509</v>
      </c>
      <c r="C20" s="202">
        <f>3*Ls+Ld+Le</f>
        <v>25</v>
      </c>
      <c r="D20" s="202">
        <f>2*Ls+Le+Ld</f>
        <v>19</v>
      </c>
      <c r="E20" s="202">
        <f>Ls+Le+Ld</f>
        <v>13</v>
      </c>
      <c r="F20" s="202">
        <f>2*Ls+Le+Ld</f>
        <v>19</v>
      </c>
      <c r="G20" s="202">
        <f>4*Ls+Le+Ld</f>
        <v>31</v>
      </c>
      <c r="H20" s="202">
        <f>Ls+Le+Ld</f>
        <v>13</v>
      </c>
      <c r="I20" s="202">
        <f>Ls+Le+Ld</f>
        <v>13</v>
      </c>
      <c r="J20" s="206" t="s">
        <v>510</v>
      </c>
      <c r="K20" s="226"/>
      <c r="L20" s="226"/>
      <c r="M20" s="226"/>
      <c r="N20" s="188"/>
      <c r="O20" s="188"/>
      <c r="P20" s="188"/>
      <c r="V20" s="226"/>
      <c r="W20" s="226"/>
      <c r="X20" s="226"/>
      <c r="Y20" s="226"/>
      <c r="Z20" s="226"/>
      <c r="AA20" s="226"/>
      <c r="AB20" s="188"/>
      <c r="AC20" s="188"/>
      <c r="AD20" s="129"/>
      <c r="AE20" s="129"/>
      <c r="AF20" s="129"/>
      <c r="AG20" s="129"/>
      <c r="AH20" s="129"/>
    </row>
    <row r="21" spans="1:34" x14ac:dyDescent="0.25">
      <c r="A21">
        <v>21</v>
      </c>
      <c r="B21" s="202" t="s">
        <v>634</v>
      </c>
      <c r="C21" s="202">
        <f>'1. СФ-ШС-24'!C20</f>
        <v>0</v>
      </c>
      <c r="D21" s="202">
        <f>'1. СФ-ШС-24'!F20</f>
        <v>0</v>
      </c>
      <c r="E21" s="202">
        <f>'1. СФ-ШС-24'!I20</f>
        <v>0</v>
      </c>
      <c r="F21" s="202">
        <f>'1. СФ-ШС-24'!L20</f>
        <v>0</v>
      </c>
      <c r="G21" s="202">
        <f>'1. СФ-ШС-24'!O20</f>
        <v>0</v>
      </c>
      <c r="H21" s="202">
        <f>'1. СФ-ШС-24'!R20</f>
        <v>0</v>
      </c>
      <c r="I21" s="202">
        <f>'1. СФ-ШС-24'!R20</f>
        <v>0</v>
      </c>
      <c r="J21" s="206" t="s">
        <v>641</v>
      </c>
      <c r="K21" s="226"/>
      <c r="L21" s="226"/>
      <c r="M21" s="226"/>
      <c r="N21" s="188"/>
      <c r="O21" s="188"/>
      <c r="P21" s="188"/>
      <c r="V21" s="226"/>
      <c r="W21" s="226"/>
      <c r="X21" s="226"/>
      <c r="Y21" s="226"/>
      <c r="Z21" s="226"/>
      <c r="AA21" s="226"/>
      <c r="AB21" s="188"/>
      <c r="AC21" s="188"/>
      <c r="AD21" s="129"/>
      <c r="AE21" s="129"/>
      <c r="AF21" s="129"/>
      <c r="AG21" s="129"/>
      <c r="AH21" s="129"/>
    </row>
    <row r="22" spans="1:34" x14ac:dyDescent="0.25">
      <c r="A22">
        <v>22</v>
      </c>
      <c r="B22" s="203" t="s">
        <v>635</v>
      </c>
      <c r="C22" s="202">
        <f>МДанные!D161*'2. СФ-МАШ-4 №1'!D$30+МДанные!D179*'3. СФ-МАШ-4 №2'!D$30+МДанные!D197*'4. СФ-МАШ-4 №3'!D$30+МДанные!D215*'5. СФ-МАШ-4 №4'!D$30</f>
        <v>0</v>
      </c>
      <c r="D22" s="202">
        <f>МДанные!D161*'2. СФ-МАШ-4 №1'!D$31+МДанные!D179*'3. СФ-МАШ-4 №2'!D$31+МДанные!D197*'4. СФ-МАШ-4 №3'!D$31+МДанные!D215*'5. СФ-МАШ-4 №4'!D$31</f>
        <v>0</v>
      </c>
      <c r="E22" s="202">
        <f>МДанные!D161*'2. СФ-МАШ-4 №1'!D$32+МДанные!D179*'3. СФ-МАШ-4 №2'!D$32+МДанные!D197*'4. СФ-МАШ-4 №3'!D$32+МДанные!D215*'5. СФ-МАШ-4 №4'!D$32</f>
        <v>0</v>
      </c>
      <c r="F22" s="202">
        <f>МДанные!D161*'2. СФ-МАШ-4 №1'!D$33+МДанные!D179*'3. СФ-МАШ-4 №2'!D$33+МДанные!D197*'4. СФ-МАШ-4 №3'!D$33+МДанные!D215*'5. СФ-МАШ-4 №4'!D$33</f>
        <v>0</v>
      </c>
      <c r="G22" s="202">
        <f>МДанные!D161*'2. СФ-МАШ-4 №1'!D$34+МДанные!D179*'3. СФ-МАШ-4 №2'!D$34+МДанные!D197*'4. СФ-МАШ-4 №3'!D$34+МДанные!D215*'5. СФ-МАШ-4 №4'!D$34</f>
        <v>0</v>
      </c>
      <c r="H22" s="202">
        <f>МДанные!D161*'2. СФ-МАШ-4 №1'!D$35+МДанные!D179*'3. СФ-МАШ-4 №2'!D$35+МДанные!D197*'4. СФ-МАШ-4 №3'!D$35+МДанные!D215*'5. СФ-МАШ-4 №4'!D$35</f>
        <v>0</v>
      </c>
      <c r="I22" s="202">
        <f>МДанные!D161*'2. СФ-МАШ-4 №1'!D$36+МДанные!D179*'3. СФ-МАШ-4 №2'!D$36+МДанные!D197*'4. СФ-МАШ-4 №3'!D$36+МДанные!D215*'5. СФ-МАШ-4 №4'!D$36</f>
        <v>0</v>
      </c>
      <c r="J22" s="206" t="s">
        <v>522</v>
      </c>
      <c r="K22" s="226"/>
      <c r="L22" s="226"/>
      <c r="M22" s="226"/>
      <c r="N22" s="188"/>
      <c r="O22" s="188"/>
      <c r="P22" s="188"/>
      <c r="V22" s="226"/>
      <c r="W22" s="226"/>
      <c r="X22" s="226"/>
      <c r="Y22" s="226"/>
      <c r="Z22" s="226"/>
      <c r="AA22" s="226"/>
      <c r="AB22" s="188"/>
      <c r="AC22" s="188"/>
      <c r="AD22" s="129"/>
      <c r="AE22" s="129"/>
      <c r="AF22" s="129"/>
      <c r="AG22" s="129"/>
      <c r="AH22" s="129"/>
    </row>
    <row r="23" spans="1:34" x14ac:dyDescent="0.25">
      <c r="A23">
        <v>23</v>
      </c>
      <c r="B23" s="203" t="s">
        <v>643</v>
      </c>
      <c r="C23" s="202">
        <f t="shared" ref="C23:H23" si="0">MAX(0,C21-C22)</f>
        <v>0</v>
      </c>
      <c r="D23" s="202">
        <f t="shared" si="0"/>
        <v>0</v>
      </c>
      <c r="E23" s="202">
        <f t="shared" si="0"/>
        <v>0</v>
      </c>
      <c r="F23" s="202">
        <f t="shared" si="0"/>
        <v>0</v>
      </c>
      <c r="G23" s="202">
        <f t="shared" si="0"/>
        <v>0</v>
      </c>
      <c r="H23" s="202">
        <f t="shared" si="0"/>
        <v>0</v>
      </c>
      <c r="I23" s="202"/>
      <c r="J23" s="206" t="s">
        <v>642</v>
      </c>
      <c r="K23" s="226"/>
      <c r="L23" s="226"/>
      <c r="M23" s="226"/>
      <c r="N23" s="188"/>
      <c r="O23" s="188"/>
      <c r="P23" s="188"/>
      <c r="V23" s="226"/>
      <c r="W23" s="226"/>
      <c r="X23" s="226"/>
      <c r="Y23" s="226"/>
      <c r="Z23" s="226"/>
      <c r="AA23" s="226"/>
      <c r="AB23" s="188"/>
      <c r="AC23" s="188"/>
      <c r="AD23" s="129"/>
      <c r="AE23" s="129"/>
      <c r="AF23" s="129"/>
      <c r="AG23" s="129"/>
      <c r="AH23" s="129"/>
    </row>
    <row r="24" spans="1:34" x14ac:dyDescent="0.25">
      <c r="A24">
        <v>24</v>
      </c>
      <c r="B24" s="202" t="s">
        <v>513</v>
      </c>
      <c r="C24" s="202">
        <v>3</v>
      </c>
      <c r="D24" s="202">
        <v>1.5</v>
      </c>
      <c r="E24" s="202">
        <v>1.5</v>
      </c>
      <c r="F24" s="202">
        <v>1.5</v>
      </c>
      <c r="G24" s="202">
        <v>2</v>
      </c>
      <c r="H24" s="202">
        <v>1.5</v>
      </c>
      <c r="I24" s="192"/>
      <c r="J24" s="206" t="s">
        <v>515</v>
      </c>
      <c r="K24" s="226"/>
      <c r="L24" s="226"/>
      <c r="M24" s="226"/>
      <c r="N24" s="188"/>
      <c r="O24" s="188"/>
      <c r="P24" s="188"/>
      <c r="V24" s="226"/>
      <c r="W24" s="226"/>
      <c r="X24" s="226"/>
      <c r="Y24" s="226"/>
      <c r="Z24" s="226"/>
      <c r="AA24" s="226"/>
      <c r="AB24" s="188"/>
      <c r="AC24" s="188"/>
      <c r="AD24" s="129"/>
      <c r="AE24" s="129"/>
      <c r="AF24" s="129"/>
      <c r="AG24" s="129"/>
      <c r="AH24" s="129"/>
    </row>
    <row r="25" spans="1:34" x14ac:dyDescent="0.25">
      <c r="A25">
        <v>25</v>
      </c>
      <c r="B25" s="201"/>
      <c r="C25" s="202" t="b">
        <f t="shared" ref="C25:H25" si="1">C21&gt;C22</f>
        <v>0</v>
      </c>
      <c r="D25" s="202" t="b">
        <f t="shared" si="1"/>
        <v>0</v>
      </c>
      <c r="E25" s="202" t="b">
        <f t="shared" si="1"/>
        <v>0</v>
      </c>
      <c r="F25" s="202" t="b">
        <f t="shared" si="1"/>
        <v>0</v>
      </c>
      <c r="G25" s="202" t="b">
        <f t="shared" si="1"/>
        <v>0</v>
      </c>
      <c r="H25" s="202" t="b">
        <f t="shared" si="1"/>
        <v>0</v>
      </c>
      <c r="I25" s="202"/>
      <c r="J25" s="206" t="s">
        <v>523</v>
      </c>
      <c r="K25" s="226"/>
      <c r="L25" s="226"/>
      <c r="M25" s="226"/>
      <c r="N25" s="188"/>
      <c r="O25" s="188"/>
      <c r="P25" s="188"/>
      <c r="V25" s="226"/>
      <c r="W25" s="226"/>
      <c r="X25" s="226"/>
      <c r="Y25" s="226"/>
      <c r="Z25" s="226"/>
      <c r="AA25" s="226"/>
      <c r="AB25" s="188"/>
      <c r="AC25" s="188"/>
      <c r="AD25" s="129"/>
      <c r="AE25" s="129"/>
      <c r="AF25" s="129"/>
      <c r="AG25" s="129"/>
      <c r="AH25" s="129"/>
    </row>
    <row r="26" spans="1:34" x14ac:dyDescent="0.25">
      <c r="A26">
        <v>26</v>
      </c>
      <c r="B26" s="201" t="s">
        <v>846</v>
      </c>
      <c r="C26" s="214"/>
      <c r="D26" s="214"/>
      <c r="E26" s="214"/>
      <c r="F26" s="214"/>
      <c r="G26" s="214"/>
      <c r="H26" s="214"/>
      <c r="I26" s="214"/>
      <c r="J26" s="192" t="b">
        <f>AND('1. СФ-ШС-24'!I11=0,('1. СФ-ШС-24'!C20+'1. СФ-ШС-24'!F20+'1. СФ-ШС-24'!I20+'1. СФ-ШС-24'!L20+'1. СФ-ШС-24'!O20+'1. СФ-ШС-24'!R20)&gt;0)</f>
        <v>0</v>
      </c>
      <c r="K26" s="226" t="s">
        <v>847</v>
      </c>
      <c r="L26" s="226"/>
      <c r="M26" s="226"/>
      <c r="N26" s="188"/>
      <c r="O26" s="188"/>
      <c r="P26" s="188"/>
      <c r="V26" s="226"/>
      <c r="W26" s="226"/>
      <c r="X26" s="226"/>
      <c r="Y26" s="226"/>
      <c r="Z26" s="226"/>
      <c r="AA26" s="226"/>
      <c r="AB26" s="188"/>
      <c r="AC26" s="188"/>
      <c r="AD26" s="129"/>
      <c r="AE26" s="129"/>
      <c r="AF26" s="129"/>
      <c r="AG26" s="129"/>
      <c r="AH26" s="129"/>
    </row>
    <row r="27" spans="1:34" x14ac:dyDescent="0.25">
      <c r="A27">
        <v>27</v>
      </c>
      <c r="B27" s="201" t="s">
        <v>848</v>
      </c>
      <c r="C27" s="214"/>
      <c r="D27" s="214"/>
      <c r="E27" s="214"/>
      <c r="F27" s="214"/>
      <c r="G27" s="214"/>
      <c r="H27" s="214"/>
      <c r="I27" s="214"/>
      <c r="J27" s="192" t="b">
        <f>AND('1. СФ-ШС-24'!I11=0,('1. СФ-ШС-24'!C20+'1. СФ-ШС-24'!F20+'1. СФ-ШС-24'!I20+'1. СФ-ШС-24'!L20+'1. СФ-ШС-24'!O20+'1. СФ-ШС-24'!R20)=0)</f>
        <v>1</v>
      </c>
      <c r="K27" s="226" t="s">
        <v>849</v>
      </c>
      <c r="L27" s="226"/>
      <c r="M27" s="226"/>
      <c r="N27" s="188"/>
      <c r="O27" s="188"/>
      <c r="P27" s="188"/>
      <c r="V27" s="226"/>
      <c r="W27" s="226"/>
      <c r="X27" s="226"/>
      <c r="Y27" s="226"/>
      <c r="Z27" s="226"/>
      <c r="AA27" s="226"/>
      <c r="AB27" s="188"/>
      <c r="AC27" s="188"/>
      <c r="AD27" s="129"/>
      <c r="AE27" s="129"/>
      <c r="AF27" s="129"/>
      <c r="AG27" s="129"/>
      <c r="AH27" s="129"/>
    </row>
    <row r="28" spans="1:34" x14ac:dyDescent="0.25">
      <c r="A28">
        <v>28</v>
      </c>
      <c r="K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188"/>
      <c r="AC28" s="188"/>
      <c r="AD28" s="129"/>
      <c r="AE28" s="129"/>
      <c r="AF28" s="129"/>
      <c r="AG28" s="129"/>
      <c r="AH28" s="129"/>
    </row>
    <row r="29" spans="1:34" x14ac:dyDescent="0.25">
      <c r="A29">
        <v>29</v>
      </c>
      <c r="B29" t="s">
        <v>732</v>
      </c>
      <c r="K29" s="226"/>
      <c r="AE29" s="129"/>
      <c r="AF29" s="129"/>
      <c r="AG29" s="129"/>
      <c r="AH29" s="129"/>
    </row>
    <row r="30" spans="1:34" x14ac:dyDescent="0.25">
      <c r="A30">
        <v>30</v>
      </c>
      <c r="B30" s="218" t="s">
        <v>445</v>
      </c>
      <c r="C30" s="210"/>
      <c r="D30" s="188"/>
      <c r="AE30" s="129"/>
      <c r="AF30" s="129"/>
      <c r="AG30" s="129"/>
      <c r="AH30" s="129"/>
    </row>
    <row r="31" spans="1:34" x14ac:dyDescent="0.25">
      <c r="A31">
        <v>31</v>
      </c>
      <c r="B31" s="224" t="str">
        <f>"01"</f>
        <v>01</v>
      </c>
      <c r="C31" s="129"/>
      <c r="D31" s="129"/>
      <c r="AE31" s="129"/>
      <c r="AF31" s="129"/>
      <c r="AG31" s="129"/>
      <c r="AH31" s="129"/>
    </row>
    <row r="32" spans="1:34" x14ac:dyDescent="0.25">
      <c r="A32">
        <v>32</v>
      </c>
      <c r="B32" s="219" t="str">
        <f>"02"</f>
        <v>02</v>
      </c>
      <c r="C32" s="129"/>
      <c r="D32" s="129"/>
      <c r="AE32" s="129"/>
      <c r="AF32" s="129"/>
      <c r="AG32" s="129"/>
      <c r="AH32" s="129"/>
    </row>
    <row r="33" spans="1:34" x14ac:dyDescent="0.25">
      <c r="A33">
        <v>33</v>
      </c>
      <c r="AE33" s="129"/>
      <c r="AF33" s="129"/>
      <c r="AG33" s="129"/>
      <c r="AH33" s="129"/>
    </row>
    <row r="34" spans="1:34" x14ac:dyDescent="0.25">
      <c r="A34">
        <v>34</v>
      </c>
      <c r="B34" t="s">
        <v>736</v>
      </c>
      <c r="AE34" s="129"/>
      <c r="AF34" s="129"/>
      <c r="AG34" s="129"/>
      <c r="AH34" s="129"/>
    </row>
    <row r="35" spans="1:34" x14ac:dyDescent="0.25">
      <c r="A35">
        <v>35</v>
      </c>
      <c r="B35" s="203" t="s">
        <v>524</v>
      </c>
      <c r="C35" s="205"/>
      <c r="D35" s="212"/>
      <c r="E35" s="69" t="s">
        <v>738</v>
      </c>
      <c r="F35" s="69" t="s">
        <v>739</v>
      </c>
      <c r="AE35" s="129"/>
      <c r="AF35" s="129"/>
      <c r="AG35" s="129"/>
      <c r="AH35" s="129"/>
    </row>
    <row r="36" spans="1:34" x14ac:dyDescent="0.25">
      <c r="A36">
        <v>36</v>
      </c>
      <c r="B36" s="203" t="s">
        <v>464</v>
      </c>
      <c r="C36" s="205"/>
      <c r="D36" s="212"/>
      <c r="E36" s="192">
        <f>ДДанные!E4</f>
        <v>37</v>
      </c>
      <c r="F36" s="192">
        <f>ДДанные!F4</f>
        <v>28</v>
      </c>
      <c r="AE36" s="129"/>
      <c r="AF36" s="129"/>
      <c r="AG36" s="129"/>
      <c r="AH36" s="129"/>
    </row>
    <row r="37" spans="1:34" x14ac:dyDescent="0.25">
      <c r="A37">
        <v>37</v>
      </c>
      <c r="B37" s="203" t="s">
        <v>527</v>
      </c>
      <c r="C37" s="205"/>
      <c r="D37" s="212"/>
      <c r="E37" s="192">
        <f>ДДанные!E5</f>
        <v>42</v>
      </c>
      <c r="F37" s="192">
        <f>ДДанные!F5</f>
        <v>33</v>
      </c>
      <c r="AE37" s="129"/>
      <c r="AF37" s="129"/>
      <c r="AG37" s="129"/>
      <c r="AH37" s="129"/>
    </row>
    <row r="38" spans="1:34" x14ac:dyDescent="0.25">
      <c r="A38">
        <v>38</v>
      </c>
      <c r="B38" s="203" t="s">
        <v>528</v>
      </c>
      <c r="C38" s="205"/>
      <c r="D38" s="212"/>
      <c r="E38" s="192">
        <f>ДДанные!E6</f>
        <v>32</v>
      </c>
      <c r="F38" s="192">
        <f>ДДанные!F6</f>
        <v>44</v>
      </c>
      <c r="AE38" s="129"/>
      <c r="AF38" s="129"/>
      <c r="AG38" s="129"/>
      <c r="AH38" s="129"/>
    </row>
    <row r="39" spans="1:34" x14ac:dyDescent="0.25">
      <c r="A39">
        <v>39</v>
      </c>
      <c r="B39" s="203" t="s">
        <v>531</v>
      </c>
      <c r="C39" s="205"/>
      <c r="D39" s="212"/>
      <c r="E39" s="192">
        <f>ДДанные!E7</f>
        <v>103</v>
      </c>
      <c r="F39" s="192">
        <f>ДДанные!F7</f>
        <v>256</v>
      </c>
      <c r="AE39" s="129"/>
      <c r="AF39" s="129"/>
      <c r="AG39" s="129"/>
      <c r="AH39" s="129"/>
    </row>
    <row r="40" spans="1:34" x14ac:dyDescent="0.25">
      <c r="A40">
        <v>40</v>
      </c>
      <c r="B40" s="216" t="s">
        <v>529</v>
      </c>
      <c r="C40" s="217"/>
      <c r="D40" s="213"/>
      <c r="AE40" s="129"/>
      <c r="AF40" s="129"/>
      <c r="AG40" s="129"/>
      <c r="AH40" s="129"/>
    </row>
    <row r="41" spans="1:34" x14ac:dyDescent="0.25">
      <c r="A41">
        <v>41</v>
      </c>
      <c r="AE41" s="129"/>
      <c r="AF41" s="129"/>
      <c r="AG41" s="129"/>
      <c r="AH41" s="129"/>
    </row>
    <row r="42" spans="1:34" x14ac:dyDescent="0.25">
      <c r="A42">
        <v>42</v>
      </c>
      <c r="B42" t="s">
        <v>737</v>
      </c>
      <c r="AE42" s="129"/>
      <c r="AF42" s="129"/>
      <c r="AG42" s="129"/>
      <c r="AH42" s="129"/>
    </row>
    <row r="43" spans="1:34" x14ac:dyDescent="0.25">
      <c r="A43">
        <v>43</v>
      </c>
      <c r="B43" s="203" t="s">
        <v>525</v>
      </c>
      <c r="C43" s="205"/>
      <c r="D43" s="212"/>
      <c r="E43" s="69" t="s">
        <v>738</v>
      </c>
      <c r="F43" s="69" t="s">
        <v>739</v>
      </c>
      <c r="AE43" s="129"/>
      <c r="AF43" s="129"/>
      <c r="AG43" s="129"/>
      <c r="AH43" s="129"/>
    </row>
    <row r="44" spans="1:34" x14ac:dyDescent="0.25">
      <c r="A44">
        <v>44</v>
      </c>
      <c r="B44" s="203" t="s">
        <v>465</v>
      </c>
      <c r="C44" s="205"/>
      <c r="D44" s="212"/>
      <c r="E44" s="192">
        <f>ДДанные!E18</f>
        <v>95</v>
      </c>
      <c r="F44" s="192">
        <f>ДДанные!F18</f>
        <v>220</v>
      </c>
      <c r="AE44" s="129"/>
      <c r="AF44" s="129"/>
      <c r="AG44" s="129"/>
      <c r="AH44" s="129"/>
    </row>
    <row r="45" spans="1:34" x14ac:dyDescent="0.25">
      <c r="A45">
        <v>45</v>
      </c>
      <c r="B45" s="203" t="s">
        <v>464</v>
      </c>
      <c r="C45" s="205"/>
      <c r="D45" s="212"/>
      <c r="E45" s="192">
        <f>ДДанные!E19</f>
        <v>127</v>
      </c>
      <c r="F45" s="192">
        <f>ДДанные!F19</f>
        <v>84</v>
      </c>
      <c r="AE45" s="129"/>
      <c r="AF45" s="129"/>
      <c r="AG45" s="129"/>
      <c r="AH45" s="129"/>
    </row>
    <row r="46" spans="1:34" x14ac:dyDescent="0.25">
      <c r="A46">
        <v>46</v>
      </c>
      <c r="B46" s="203" t="s">
        <v>529</v>
      </c>
      <c r="C46" s="205"/>
      <c r="D46" s="212"/>
      <c r="AE46" s="129"/>
      <c r="AF46" s="129"/>
      <c r="AG46" s="129"/>
      <c r="AH46" s="129"/>
    </row>
    <row r="47" spans="1:34" x14ac:dyDescent="0.25">
      <c r="A47">
        <v>47</v>
      </c>
      <c r="AE47" s="129"/>
      <c r="AF47" s="129"/>
      <c r="AG47" s="129"/>
      <c r="AH47" s="129"/>
    </row>
    <row r="48" spans="1:34" x14ac:dyDescent="0.25">
      <c r="A48">
        <v>48</v>
      </c>
      <c r="B48" s="214" t="s">
        <v>733</v>
      </c>
      <c r="AE48" s="129"/>
      <c r="AF48" s="129"/>
      <c r="AG48" s="129"/>
      <c r="AH48" s="129"/>
    </row>
    <row r="49" spans="1:34" x14ac:dyDescent="0.25">
      <c r="A49">
        <v>49</v>
      </c>
      <c r="B49" s="203" t="s">
        <v>526</v>
      </c>
      <c r="C49" s="212"/>
      <c r="D49" s="214"/>
      <c r="AE49" s="129"/>
      <c r="AF49" s="129"/>
      <c r="AG49" s="129"/>
      <c r="AH49" s="129"/>
    </row>
    <row r="50" spans="1:34" x14ac:dyDescent="0.25">
      <c r="A50">
        <v>50</v>
      </c>
      <c r="B50" s="203" t="s">
        <v>451</v>
      </c>
      <c r="C50" s="235"/>
      <c r="D50" s="189"/>
      <c r="AE50" s="129"/>
      <c r="AF50" s="129"/>
      <c r="AG50" s="129"/>
      <c r="AH50" s="129"/>
    </row>
    <row r="51" spans="1:34" x14ac:dyDescent="0.25">
      <c r="A51">
        <v>51</v>
      </c>
      <c r="B51" s="234" t="s">
        <v>224</v>
      </c>
      <c r="C51" s="215"/>
      <c r="D51" s="214"/>
      <c r="AE51" s="129"/>
      <c r="AF51" s="129"/>
      <c r="AG51" s="129"/>
      <c r="AH51" s="129"/>
    </row>
    <row r="52" spans="1:34" x14ac:dyDescent="0.25">
      <c r="A52">
        <v>52</v>
      </c>
      <c r="B52" s="203" t="s">
        <v>483</v>
      </c>
      <c r="C52" s="212"/>
      <c r="D52" s="214"/>
      <c r="AE52" s="129"/>
      <c r="AF52" s="129"/>
      <c r="AG52" s="129"/>
      <c r="AH52" s="129"/>
    </row>
    <row r="53" spans="1:34" x14ac:dyDescent="0.25">
      <c r="A53">
        <v>53</v>
      </c>
      <c r="B53" s="216" t="s">
        <v>530</v>
      </c>
      <c r="C53" s="213"/>
      <c r="D53" s="214"/>
      <c r="AE53" s="129"/>
      <c r="AF53" s="129"/>
      <c r="AG53" s="129"/>
      <c r="AH53" s="129"/>
    </row>
    <row r="54" spans="1:34" x14ac:dyDescent="0.25">
      <c r="A54">
        <v>54</v>
      </c>
      <c r="AE54" s="129"/>
      <c r="AF54" s="129"/>
      <c r="AG54" s="129"/>
      <c r="AH54" s="129"/>
    </row>
    <row r="55" spans="1:34" x14ac:dyDescent="0.25">
      <c r="A55">
        <v>55</v>
      </c>
      <c r="B55" s="214" t="s">
        <v>734</v>
      </c>
      <c r="AE55" s="129"/>
      <c r="AF55" s="129"/>
      <c r="AG55" s="129"/>
      <c r="AH55" s="129"/>
    </row>
    <row r="56" spans="1:34" x14ac:dyDescent="0.25">
      <c r="A56">
        <v>56</v>
      </c>
      <c r="B56" s="204" t="s">
        <v>532</v>
      </c>
      <c r="AE56" s="129"/>
      <c r="AF56" s="129"/>
      <c r="AG56" s="129"/>
      <c r="AH56" s="129"/>
    </row>
    <row r="57" spans="1:34" x14ac:dyDescent="0.25">
      <c r="A57">
        <v>57</v>
      </c>
      <c r="B57" s="218" t="s">
        <v>484</v>
      </c>
      <c r="C57" s="210"/>
      <c r="AA57" s="226"/>
      <c r="AB57" s="226"/>
      <c r="AC57" s="226"/>
      <c r="AD57" s="226"/>
      <c r="AE57" s="129"/>
      <c r="AF57" s="129"/>
      <c r="AG57" s="129"/>
      <c r="AH57" s="129"/>
    </row>
    <row r="58" spans="1:34" x14ac:dyDescent="0.25">
      <c r="A58">
        <v>58</v>
      </c>
      <c r="B58" s="218" t="s">
        <v>535</v>
      </c>
      <c r="C58" s="210"/>
      <c r="AA58" s="226"/>
      <c r="AB58" s="226"/>
      <c r="AC58" s="226"/>
      <c r="AD58" s="226"/>
      <c r="AE58" s="129"/>
      <c r="AF58" s="129"/>
      <c r="AG58" s="129"/>
      <c r="AH58" s="129"/>
    </row>
    <row r="59" spans="1:34" x14ac:dyDescent="0.25">
      <c r="A59">
        <v>59</v>
      </c>
      <c r="AA59" s="226"/>
      <c r="AB59" s="226"/>
      <c r="AC59" s="226"/>
      <c r="AD59" s="226"/>
      <c r="AE59" s="129"/>
      <c r="AF59" s="129"/>
      <c r="AG59" s="129"/>
      <c r="AH59" s="129"/>
    </row>
    <row r="60" spans="1:34" x14ac:dyDescent="0.25">
      <c r="A60">
        <v>60</v>
      </c>
      <c r="B60" s="225" t="s">
        <v>753</v>
      </c>
      <c r="AA60" s="226"/>
      <c r="AB60" s="188"/>
      <c r="AC60" s="188"/>
      <c r="AD60" s="188"/>
      <c r="AE60" s="129"/>
      <c r="AF60" s="129"/>
      <c r="AG60" s="129"/>
      <c r="AH60" s="129"/>
    </row>
    <row r="61" spans="1:34" x14ac:dyDescent="0.25">
      <c r="A61">
        <v>61</v>
      </c>
      <c r="B61" s="238" t="s">
        <v>754</v>
      </c>
      <c r="C61" s="69" t="s">
        <v>250</v>
      </c>
      <c r="Y61" s="129"/>
      <c r="Z61" s="129"/>
      <c r="AA61" s="188"/>
      <c r="AB61" s="188"/>
      <c r="AC61" s="188"/>
      <c r="AD61" s="188"/>
      <c r="AE61" s="129"/>
      <c r="AF61" s="129"/>
      <c r="AG61" s="129"/>
      <c r="AH61" s="129"/>
    </row>
    <row r="62" spans="1:34" x14ac:dyDescent="0.25">
      <c r="A62">
        <v>62</v>
      </c>
      <c r="B62" s="239" t="b">
        <f>AND('1. СФ-ШС-24'!F34=B58,'1. СФ-ШС-24'!R20&gt;0)</f>
        <v>0</v>
      </c>
      <c r="C62" s="241" t="s">
        <v>755</v>
      </c>
      <c r="Y62" s="188"/>
      <c r="Z62" s="129"/>
      <c r="AA62" s="188"/>
      <c r="AB62" s="188"/>
      <c r="AC62" s="188"/>
      <c r="AD62" s="188"/>
      <c r="AE62" s="129"/>
      <c r="AF62" s="129"/>
      <c r="AG62" s="129"/>
      <c r="AH62" s="129"/>
    </row>
    <row r="63" spans="1:34" x14ac:dyDescent="0.25">
      <c r="A63">
        <v>63</v>
      </c>
      <c r="B63" s="69" t="b">
        <f>AND('1. СФ-ШС-24'!$F$34=$B$57,'1. СФ-ШС-24'!$F$35&lt;'1. СФ-ШС-24'!$R$20,'1. СФ-ШС-24'!$F$35&gt;0)</f>
        <v>0</v>
      </c>
      <c r="C63" s="240" t="s">
        <v>756</v>
      </c>
      <c r="Y63" s="188"/>
      <c r="Z63" s="129"/>
      <c r="AA63" s="129"/>
      <c r="AB63" s="129"/>
      <c r="AC63" s="129"/>
      <c r="AD63" s="129"/>
      <c r="AE63" s="49"/>
      <c r="AF63" s="49"/>
      <c r="AG63" s="49"/>
      <c r="AH63" s="49"/>
    </row>
    <row r="64" spans="1:34" x14ac:dyDescent="0.25">
      <c r="A64">
        <v>64</v>
      </c>
      <c r="B64" s="69" t="b">
        <f>'1. СФ-ШС-24'!F35&gt;'1. СФ-ШС-24'!H35</f>
        <v>0</v>
      </c>
      <c r="C64" s="240" t="s">
        <v>757</v>
      </c>
      <c r="Y64" s="188"/>
      <c r="Z64" s="129"/>
      <c r="AA64" s="129"/>
      <c r="AB64" s="129"/>
      <c r="AC64" s="129"/>
      <c r="AD64" s="129"/>
      <c r="AE64" s="49"/>
      <c r="AF64" s="49"/>
      <c r="AG64" s="49"/>
      <c r="AH64" s="49"/>
    </row>
    <row r="65" spans="1:34" x14ac:dyDescent="0.25">
      <c r="A65">
        <v>65</v>
      </c>
      <c r="Y65" s="188"/>
      <c r="Z65" s="129"/>
      <c r="AA65" s="129"/>
      <c r="AB65" s="129"/>
      <c r="AC65" s="129"/>
      <c r="AD65" s="129"/>
      <c r="AE65" s="49"/>
      <c r="AF65" s="49"/>
      <c r="AG65" s="49"/>
      <c r="AH65" s="49"/>
    </row>
    <row r="66" spans="1:34" x14ac:dyDescent="0.25">
      <c r="A66">
        <v>66</v>
      </c>
      <c r="B66" s="225" t="s">
        <v>760</v>
      </c>
      <c r="Y66" s="188"/>
      <c r="Z66" s="129"/>
      <c r="AA66" s="129"/>
      <c r="AB66" s="129"/>
      <c r="AC66" s="129"/>
      <c r="AD66" s="129"/>
      <c r="AE66" s="49"/>
      <c r="AF66" s="49"/>
      <c r="AG66" s="49"/>
      <c r="AH66" s="49"/>
    </row>
    <row r="67" spans="1:34" x14ac:dyDescent="0.25">
      <c r="A67">
        <v>67</v>
      </c>
      <c r="B67" s="204" t="s">
        <v>534</v>
      </c>
      <c r="C67" s="207" t="s">
        <v>735</v>
      </c>
      <c r="D67" s="207"/>
      <c r="E67" s="211"/>
      <c r="F67" s="201"/>
      <c r="Y67" s="188"/>
      <c r="Z67" s="129"/>
      <c r="AA67" s="129"/>
      <c r="AB67" s="129"/>
      <c r="AC67" s="129"/>
      <c r="AD67" s="129"/>
      <c r="AE67" s="49"/>
      <c r="AF67" s="49"/>
      <c r="AG67" s="49"/>
      <c r="AH67" s="49"/>
    </row>
    <row r="68" spans="1:34" x14ac:dyDescent="0.25">
      <c r="A68">
        <v>68</v>
      </c>
      <c r="B68" s="229">
        <v>3000</v>
      </c>
      <c r="C68" s="209" t="s">
        <v>536</v>
      </c>
      <c r="D68" s="206"/>
      <c r="E68" s="206"/>
      <c r="F68" s="210"/>
      <c r="Y68" s="188"/>
      <c r="Z68" s="129"/>
      <c r="AA68" s="129"/>
      <c r="AB68" s="129"/>
      <c r="AC68" s="129"/>
      <c r="AD68" s="129"/>
      <c r="AE68" s="49"/>
      <c r="AF68" s="49"/>
      <c r="AG68" s="49"/>
      <c r="AH68" s="49"/>
    </row>
    <row r="69" spans="1:34" x14ac:dyDescent="0.25">
      <c r="A69">
        <v>69</v>
      </c>
      <c r="B69" s="229">
        <v>3000</v>
      </c>
      <c r="C69" s="209" t="s">
        <v>537</v>
      </c>
      <c r="D69" s="206"/>
      <c r="E69" s="206"/>
      <c r="F69" s="210"/>
      <c r="Y69" s="188"/>
      <c r="Z69" s="129"/>
      <c r="AA69" s="129"/>
      <c r="AB69" s="129"/>
      <c r="AC69" s="129"/>
      <c r="AD69" s="129"/>
      <c r="AE69" s="49"/>
      <c r="AF69" s="49"/>
      <c r="AG69" s="49"/>
      <c r="AH69" s="49"/>
    </row>
    <row r="70" spans="1:34" x14ac:dyDescent="0.25">
      <c r="A70">
        <v>70</v>
      </c>
      <c r="B70" s="229">
        <v>17</v>
      </c>
      <c r="C70" s="209" t="s">
        <v>539</v>
      </c>
      <c r="D70" s="206"/>
      <c r="E70" s="206"/>
      <c r="F70" s="210"/>
      <c r="Y70" s="188"/>
      <c r="Z70" s="129"/>
      <c r="AA70" s="129"/>
      <c r="AB70" s="129"/>
      <c r="AC70" s="129"/>
      <c r="AD70" s="129"/>
      <c r="AE70" s="49"/>
    </row>
    <row r="71" spans="1:34" x14ac:dyDescent="0.25">
      <c r="A71">
        <v>71</v>
      </c>
      <c r="Y71" s="129"/>
      <c r="Z71" s="129"/>
      <c r="AA71" s="129"/>
      <c r="AB71" s="129"/>
      <c r="AC71" s="129"/>
      <c r="AD71" s="129"/>
      <c r="AE71" s="49"/>
    </row>
    <row r="72" spans="1:34" x14ac:dyDescent="0.25">
      <c r="A72">
        <v>72</v>
      </c>
      <c r="B72" t="s">
        <v>835</v>
      </c>
      <c r="Y72" s="129"/>
      <c r="AD72" s="129"/>
      <c r="AE72" s="49"/>
    </row>
    <row r="73" spans="1:34" x14ac:dyDescent="0.25">
      <c r="A73">
        <v>73</v>
      </c>
      <c r="B73" s="192" t="s">
        <v>533</v>
      </c>
      <c r="C73" s="129"/>
    </row>
    <row r="74" spans="1:34" x14ac:dyDescent="0.25">
      <c r="A74">
        <v>74</v>
      </c>
      <c r="B74" s="229">
        <v>19</v>
      </c>
      <c r="C74" s="214"/>
    </row>
    <row r="75" spans="1:34" x14ac:dyDescent="0.25">
      <c r="A75">
        <v>75</v>
      </c>
      <c r="B75" s="229">
        <v>26</v>
      </c>
      <c r="C75" s="214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</row>
    <row r="76" spans="1:34" x14ac:dyDescent="0.25">
      <c r="A76">
        <v>76</v>
      </c>
      <c r="B76" s="229" t="s">
        <v>224</v>
      </c>
      <c r="C76" s="214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88"/>
      <c r="W76" s="188"/>
      <c r="X76" s="188"/>
    </row>
    <row r="77" spans="1:34" ht="15.75" thickBot="1" x14ac:dyDescent="0.3">
      <c r="A77">
        <v>77</v>
      </c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88"/>
      <c r="W77" s="188"/>
      <c r="X77" s="188"/>
    </row>
    <row r="78" spans="1:34" x14ac:dyDescent="0.25">
      <c r="A78">
        <v>78</v>
      </c>
      <c r="B78" s="141">
        <f>'1. СФ-ШС-24'!C11*ШДанные!C15+'1. СФ-ШС-24'!F11*ШДанные!D15+'1. СФ-ШС-24'!I11*ШДанные!E15+'1. СФ-ШС-24'!L11*ШДанные!F15+'1. СФ-ШС-24'!O11*ШДанные!G15+'1. СФ-ШС-24'!R11*ШДанные!H15+'1. СФ-ШС-24'!C20*ШДанные!C24+('1. СФ-ШС-24'!U11&gt;1)*('1. СФ-ШС-24'!U11*ШДанные!J15-1)+CEILING('1. СФ-ШС-24'!F20*ШДанные!D24,1)+CEILING('1. СФ-ШС-24'!I20*ШДанные!E24,1)+CEILING('1. СФ-ШС-24'!L20*ШДанные!F24,1)+'1. СФ-ШС-24'!O20*ШДанные!G24+CEILING('1. СФ-ШС-24'!R20*ШДанные!H24,1)+IF('1. СФ-ШС-24'!X8=0,0,IF('1. СФ-ШС-24'!X8=1,2,IF(MOD('1. СФ-ШС-24'!X8,2)=0,'1. СФ-ШС-24'!X8,'1. СФ-ШС-24'!X8-1)))+IF('1. СФ-ШС-24'!X9=0,0,IF('1. СФ-ШС-24'!X9=1,2,IF(MOD('1. СФ-ШС-24'!X9,2)=0,'1. СФ-ШС-24'!X9,'1. СФ-ШС-24'!X9-1)))+IF('1. СФ-ШС-24'!X10=0,0,IF('1. СФ-ШС-24'!X10=1,2,IF(MOD('1. СФ-ШС-24'!X10,2)=0,'1. СФ-ШС-24'!X10,'1. СФ-ШС-24'!X10-1)))+('1. СФ-ШС-24'!U11=1)*2+AND('1. СФ-ШС-24'!C34=ШДанные!B53,'1. СФ-ШС-24'!H44=ШДанные!B82)*1+13</f>
        <v>16</v>
      </c>
      <c r="C78" t="s">
        <v>836</v>
      </c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88"/>
      <c r="W78" s="188"/>
      <c r="X78" s="188"/>
    </row>
    <row r="79" spans="1:34" x14ac:dyDescent="0.25">
      <c r="A79">
        <v>79</v>
      </c>
      <c r="C79" s="226"/>
      <c r="F79" s="201"/>
      <c r="G79" s="201"/>
      <c r="H79" s="201"/>
      <c r="J79" s="226"/>
      <c r="K79" s="226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14"/>
      <c r="W79" s="214"/>
      <c r="X79" s="188"/>
    </row>
    <row r="80" spans="1:34" x14ac:dyDescent="0.25">
      <c r="A80">
        <v>80</v>
      </c>
      <c r="B80" s="129" t="s">
        <v>761</v>
      </c>
      <c r="C80" s="129"/>
      <c r="D80" s="129"/>
      <c r="E80" s="129"/>
      <c r="F80" s="129"/>
      <c r="G80" s="129"/>
      <c r="H80" s="129"/>
      <c r="I80" s="220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</row>
    <row r="81" spans="1:31" x14ac:dyDescent="0.25">
      <c r="A81">
        <v>81</v>
      </c>
      <c r="B81" s="192" t="s">
        <v>538</v>
      </c>
      <c r="C81" s="154"/>
    </row>
    <row r="82" spans="1:31" x14ac:dyDescent="0.25">
      <c r="A82">
        <v>82</v>
      </c>
      <c r="B82" s="192" t="s">
        <v>189</v>
      </c>
    </row>
    <row r="83" spans="1:31" x14ac:dyDescent="0.25">
      <c r="A83">
        <v>83</v>
      </c>
      <c r="B83" s="192" t="s">
        <v>224</v>
      </c>
    </row>
    <row r="84" spans="1:31" x14ac:dyDescent="0.25">
      <c r="A84">
        <v>84</v>
      </c>
    </row>
    <row r="85" spans="1:31" x14ac:dyDescent="0.25">
      <c r="A85">
        <v>85</v>
      </c>
      <c r="B85" s="188" t="s">
        <v>762</v>
      </c>
    </row>
    <row r="86" spans="1:31" x14ac:dyDescent="0.25">
      <c r="A86">
        <v>86</v>
      </c>
      <c r="B86" s="204" t="s">
        <v>544</v>
      </c>
      <c r="C86" s="201"/>
      <c r="D86" s="201"/>
    </row>
    <row r="87" spans="1:31" x14ac:dyDescent="0.25">
      <c r="A87">
        <v>87</v>
      </c>
      <c r="B87" s="202">
        <v>20</v>
      </c>
      <c r="C87" s="203" t="s">
        <v>549</v>
      </c>
      <c r="D87" s="212"/>
      <c r="AE87" s="49"/>
    </row>
    <row r="88" spans="1:31" x14ac:dyDescent="0.25">
      <c r="A88">
        <v>88</v>
      </c>
      <c r="B88" s="202">
        <v>88</v>
      </c>
      <c r="C88" s="202" t="s">
        <v>550</v>
      </c>
      <c r="D88" s="202"/>
      <c r="AE88" s="49"/>
    </row>
    <row r="89" spans="1:31" x14ac:dyDescent="0.25">
      <c r="A89">
        <v>89</v>
      </c>
      <c r="B89" s="202">
        <f>(B88-B87)/4</f>
        <v>17</v>
      </c>
      <c r="C89" s="202" t="s">
        <v>551</v>
      </c>
      <c r="D89" s="202"/>
      <c r="AE89" s="49"/>
    </row>
    <row r="90" spans="1:31" x14ac:dyDescent="0.25">
      <c r="A90">
        <v>90</v>
      </c>
      <c r="AE90" s="49"/>
    </row>
    <row r="91" spans="1:31" x14ac:dyDescent="0.25">
      <c r="A91">
        <v>91</v>
      </c>
      <c r="B91" t="s">
        <v>763</v>
      </c>
      <c r="AE91" s="49"/>
    </row>
    <row r="92" spans="1:31" x14ac:dyDescent="0.25">
      <c r="A92">
        <v>92</v>
      </c>
      <c r="B92" s="204" t="s">
        <v>545</v>
      </c>
      <c r="C92" s="201"/>
      <c r="D92" s="201"/>
      <c r="AE92" s="49"/>
    </row>
    <row r="93" spans="1:31" x14ac:dyDescent="0.25">
      <c r="A93">
        <v>93</v>
      </c>
      <c r="B93" s="202">
        <v>44</v>
      </c>
      <c r="C93" s="203" t="s">
        <v>549</v>
      </c>
      <c r="D93" s="212"/>
      <c r="AE93" s="49"/>
    </row>
    <row r="94" spans="1:31" x14ac:dyDescent="0.25">
      <c r="A94">
        <v>94</v>
      </c>
      <c r="B94" s="208">
        <v>149</v>
      </c>
      <c r="C94" s="216" t="s">
        <v>550</v>
      </c>
      <c r="D94" s="213"/>
    </row>
    <row r="95" spans="1:31" x14ac:dyDescent="0.25">
      <c r="A95">
        <v>95</v>
      </c>
      <c r="B95" s="202">
        <f>(B94-B93)/4</f>
        <v>26.25</v>
      </c>
      <c r="C95" s="205" t="s">
        <v>551</v>
      </c>
      <c r="D95" s="212"/>
      <c r="Y95" s="188"/>
      <c r="Z95" s="226"/>
      <c r="AA95" s="226"/>
      <c r="AB95" s="226"/>
    </row>
    <row r="96" spans="1:31" x14ac:dyDescent="0.25">
      <c r="A96">
        <v>96</v>
      </c>
      <c r="Y96" s="188"/>
      <c r="Z96" s="226"/>
      <c r="AA96" s="226"/>
      <c r="AB96" s="226"/>
    </row>
    <row r="97" spans="1:30" x14ac:dyDescent="0.25">
      <c r="A97">
        <v>97</v>
      </c>
      <c r="B97" t="s">
        <v>764</v>
      </c>
      <c r="Y97" s="188"/>
      <c r="Z97" s="226"/>
      <c r="AA97" s="226"/>
      <c r="AB97" s="226"/>
    </row>
    <row r="98" spans="1:30" x14ac:dyDescent="0.25">
      <c r="A98">
        <v>98</v>
      </c>
      <c r="B98" s="229" t="s">
        <v>620</v>
      </c>
      <c r="C98" s="229" t="s">
        <v>740</v>
      </c>
      <c r="D98" s="229" t="s">
        <v>621</v>
      </c>
      <c r="Y98" s="188"/>
    </row>
    <row r="99" spans="1:30" x14ac:dyDescent="0.25">
      <c r="A99">
        <v>99</v>
      </c>
      <c r="B99" s="229">
        <f>'2. СФ-МАШ-4 №1'!D74</f>
        <v>86</v>
      </c>
      <c r="C99" s="229">
        <v>1</v>
      </c>
      <c r="D99" s="229">
        <f>'2. СФ-МАШ-4 №1'!D75</f>
        <v>86</v>
      </c>
      <c r="Y99" s="188"/>
    </row>
    <row r="100" spans="1:30" x14ac:dyDescent="0.25">
      <c r="A100">
        <v>100</v>
      </c>
      <c r="B100" s="229">
        <f>'3. СФ-МАШ-4 №2'!D74</f>
        <v>86</v>
      </c>
      <c r="C100" s="229">
        <v>2</v>
      </c>
      <c r="D100" s="229">
        <f>'3. СФ-МАШ-4 №2'!D75</f>
        <v>86</v>
      </c>
      <c r="Y100" s="188"/>
    </row>
    <row r="101" spans="1:30" x14ac:dyDescent="0.25">
      <c r="A101">
        <v>101</v>
      </c>
      <c r="B101" s="229">
        <f>'4. СФ-МАШ-4 №3'!D74</f>
        <v>86</v>
      </c>
      <c r="C101" s="229">
        <v>3</v>
      </c>
      <c r="D101" s="229">
        <f>'4. СФ-МАШ-4 №3'!D75</f>
        <v>86</v>
      </c>
      <c r="Y101" s="188"/>
      <c r="AC101" s="226"/>
      <c r="AD101" s="188"/>
    </row>
    <row r="102" spans="1:30" x14ac:dyDescent="0.25">
      <c r="A102">
        <v>102</v>
      </c>
      <c r="B102" s="229">
        <f>'5. СФ-МАШ-4 №4'!D74</f>
        <v>86</v>
      </c>
      <c r="C102" s="229">
        <v>4</v>
      </c>
      <c r="D102" s="229">
        <f>'5. СФ-МАШ-4 №4'!D75</f>
        <v>86</v>
      </c>
      <c r="Y102" s="188"/>
      <c r="AC102" s="226"/>
      <c r="AD102" s="188"/>
    </row>
    <row r="103" spans="1:30" x14ac:dyDescent="0.25">
      <c r="A103">
        <v>103</v>
      </c>
      <c r="Y103" s="188"/>
      <c r="AC103" s="226"/>
      <c r="AD103" s="188"/>
    </row>
    <row r="104" spans="1:30" x14ac:dyDescent="0.25">
      <c r="A104">
        <v>104</v>
      </c>
      <c r="B104" t="s">
        <v>765</v>
      </c>
      <c r="Y104" s="188"/>
      <c r="AD104" s="188"/>
    </row>
    <row r="105" spans="1:30" x14ac:dyDescent="0.25">
      <c r="A105">
        <v>105</v>
      </c>
      <c r="B105" s="203" t="s">
        <v>546</v>
      </c>
      <c r="C105" s="205"/>
      <c r="D105" s="212"/>
      <c r="E105" s="203" t="s">
        <v>547</v>
      </c>
      <c r="F105" s="205"/>
      <c r="G105" s="212"/>
      <c r="H105" s="188"/>
      <c r="Y105" s="188"/>
      <c r="AD105" s="188"/>
    </row>
    <row r="106" spans="1:30" x14ac:dyDescent="0.25">
      <c r="A106">
        <v>106</v>
      </c>
      <c r="B106" s="203">
        <v>106</v>
      </c>
      <c r="C106" s="205"/>
      <c r="D106" s="212"/>
      <c r="E106" s="203">
        <v>20</v>
      </c>
      <c r="F106" s="205"/>
      <c r="G106" s="212"/>
      <c r="H106" s="188"/>
      <c r="Y106" s="188"/>
      <c r="AD106" s="188"/>
    </row>
    <row r="107" spans="1:30" x14ac:dyDescent="0.25">
      <c r="A107">
        <v>107</v>
      </c>
      <c r="Y107" s="188"/>
      <c r="AD107" s="188"/>
    </row>
    <row r="108" spans="1:30" x14ac:dyDescent="0.25">
      <c r="A108">
        <v>108</v>
      </c>
      <c r="B108" s="188" t="s">
        <v>766</v>
      </c>
      <c r="D108" s="188"/>
      <c r="E108" s="188"/>
      <c r="F108" s="188"/>
      <c r="G108" s="188"/>
      <c r="H108" s="188"/>
      <c r="I108" s="129"/>
      <c r="J108" s="129"/>
      <c r="K108" s="129"/>
      <c r="L108" s="129"/>
      <c r="M108" s="129"/>
      <c r="N108" s="129"/>
      <c r="O108" s="129"/>
      <c r="P108" s="129"/>
      <c r="Q108" s="129"/>
      <c r="R108" s="129"/>
      <c r="S108" s="129"/>
      <c r="T108" s="129"/>
      <c r="U108" s="129"/>
      <c r="V108" s="129"/>
      <c r="W108" s="129"/>
      <c r="X108" s="129"/>
      <c r="Y108" s="129"/>
      <c r="AD108" s="188"/>
    </row>
    <row r="109" spans="1:30" x14ac:dyDescent="0.25">
      <c r="A109">
        <v>109</v>
      </c>
      <c r="B109" s="221"/>
      <c r="C109" s="192" t="b">
        <f>AND('1. СФ-ШС-24'!$R$3=$B$32,'1. СФ-ШС-24'!C8&gt;'1. СФ-ШС-24'!E8)</f>
        <v>0</v>
      </c>
      <c r="D109" s="129"/>
      <c r="E109" s="129"/>
      <c r="F109" s="192" t="b">
        <f>AND('1. СФ-ШС-24'!$R$3=$B$32,'1. СФ-ШС-24'!F8&gt;'1. СФ-ШС-24'!H8)</f>
        <v>0</v>
      </c>
      <c r="G109" s="129"/>
      <c r="H109" s="129"/>
      <c r="I109" s="192" t="b">
        <f>AND('1. СФ-ШС-24'!$R$3=$B$32,'1. СФ-ШС-24'!I8&gt;'1. СФ-ШС-24'!K8)</f>
        <v>0</v>
      </c>
      <c r="J109" s="129"/>
      <c r="K109" s="129"/>
      <c r="L109" s="192" t="b">
        <f>AND('1. СФ-ШС-24'!$R$3=$B$32,'1. СФ-ШС-24'!L8&gt;'1. СФ-ШС-24'!N8)</f>
        <v>0</v>
      </c>
      <c r="M109" s="129"/>
      <c r="N109" s="129"/>
      <c r="O109" s="192" t="b">
        <f>AND('1. СФ-ШС-24'!$R$3=$B$32,'1. СФ-ШС-24'!O8&gt;'1. СФ-ШС-24'!Q8)</f>
        <v>0</v>
      </c>
      <c r="P109" s="129"/>
      <c r="Q109" s="129"/>
      <c r="R109" s="192" t="b">
        <f>AND('1. СФ-ШС-24'!$R$3=$B$32,'1. СФ-ШС-24'!R8&gt;'1. СФ-ШС-24'!T8)</f>
        <v>0</v>
      </c>
      <c r="S109" s="129"/>
      <c r="T109" s="129"/>
      <c r="U109" s="192" t="b">
        <f>AND('1. СФ-ШС-24'!$R$3=$B$32,'1. СФ-ШС-24'!U8&gt;'1. СФ-ШС-24'!W8)</f>
        <v>0</v>
      </c>
      <c r="V109" s="129"/>
      <c r="W109" s="129"/>
      <c r="X109" s="192" t="b">
        <f>AND('1. СФ-ШС-24'!$R$3=$B$32,'1. СФ-ШС-24'!X8&gt;'1. СФ-ШС-24'!Z8)</f>
        <v>0</v>
      </c>
      <c r="Y109" s="129"/>
      <c r="AD109" s="188"/>
    </row>
    <row r="110" spans="1:30" x14ac:dyDescent="0.25">
      <c r="A110">
        <v>110</v>
      </c>
      <c r="B110" s="221"/>
      <c r="C110" s="192" t="b">
        <f>'1. СФ-ШС-24'!C9&gt;'1. СФ-ШС-24'!E9</f>
        <v>0</v>
      </c>
      <c r="D110" s="129"/>
      <c r="E110" s="129"/>
      <c r="F110" s="192" t="b">
        <f>'1. СФ-ШС-24'!F9&gt;'1. СФ-ШС-24'!H9</f>
        <v>0</v>
      </c>
      <c r="G110" s="129"/>
      <c r="H110" s="129"/>
      <c r="I110" s="192" t="b">
        <f>'1. СФ-ШС-24'!I9&gt;'1. СФ-ШС-24'!K9</f>
        <v>0</v>
      </c>
      <c r="J110" s="129"/>
      <c r="K110" s="129"/>
      <c r="L110" s="192" t="b">
        <f>'1. СФ-ШС-24'!L9&gt;'1. СФ-ШС-24'!N9</f>
        <v>0</v>
      </c>
      <c r="M110" s="129"/>
      <c r="N110" s="129"/>
      <c r="O110" s="192" t="b">
        <f>'1. СФ-ШС-24'!O9&gt;'1. СФ-ШС-24'!Q9</f>
        <v>0</v>
      </c>
      <c r="P110" s="129"/>
      <c r="Q110" s="129"/>
      <c r="R110" s="192" t="b">
        <f>'1. СФ-ШС-24'!R9&gt;'1. СФ-ШС-24'!T9</f>
        <v>0</v>
      </c>
      <c r="S110" s="129"/>
      <c r="T110" s="129"/>
      <c r="U110" s="192" t="b">
        <f>'1. СФ-ШС-24'!U9&gt;'1. СФ-ШС-24'!W9</f>
        <v>0</v>
      </c>
      <c r="V110" s="129"/>
      <c r="W110" s="129"/>
      <c r="X110" s="192" t="b">
        <f>'1. СФ-ШС-24'!X9&gt;'1. СФ-ШС-24'!Z9</f>
        <v>0</v>
      </c>
      <c r="Y110" s="129"/>
      <c r="AD110" s="188"/>
    </row>
    <row r="111" spans="1:30" x14ac:dyDescent="0.25">
      <c r="A111">
        <v>111</v>
      </c>
      <c r="B111" s="221"/>
      <c r="C111" s="192" t="b">
        <f>'1. СФ-ШС-24'!C10&gt;'1. СФ-ШС-24'!E10</f>
        <v>0</v>
      </c>
      <c r="D111" s="129"/>
      <c r="E111" s="129"/>
      <c r="F111" s="192" t="b">
        <f>'1. СФ-ШС-24'!F10&gt;'1. СФ-ШС-24'!H10</f>
        <v>0</v>
      </c>
      <c r="G111" s="129"/>
      <c r="H111" s="129"/>
      <c r="I111" s="192" t="b">
        <f>'1. СФ-ШС-24'!I10&gt;'1. СФ-ШС-24'!K10</f>
        <v>0</v>
      </c>
      <c r="J111" s="129"/>
      <c r="K111" s="129"/>
      <c r="L111" s="192" t="b">
        <f>'1. СФ-ШС-24'!L10&gt;'1. СФ-ШС-24'!N10</f>
        <v>0</v>
      </c>
      <c r="M111" s="129"/>
      <c r="N111" s="129"/>
      <c r="O111" s="192" t="b">
        <f>'1. СФ-ШС-24'!O10&gt;'1. СФ-ШС-24'!Q10</f>
        <v>0</v>
      </c>
      <c r="P111" s="129"/>
      <c r="Q111" s="129"/>
      <c r="R111" s="192" t="b">
        <f>'1. СФ-ШС-24'!R10&gt;'1. СФ-ШС-24'!T10</f>
        <v>0</v>
      </c>
      <c r="S111" s="129"/>
      <c r="T111" s="129"/>
      <c r="U111" s="192" t="b">
        <f>'1. СФ-ШС-24'!U10&gt;'1. СФ-ШС-24'!W10</f>
        <v>0</v>
      </c>
      <c r="V111" s="129"/>
      <c r="W111" s="129"/>
      <c r="X111" s="192" t="b">
        <f>'1. СФ-ШС-24'!X10&gt;'1. СФ-ШС-24'!Z10</f>
        <v>0</v>
      </c>
      <c r="Y111" s="129"/>
      <c r="AD111" s="188"/>
    </row>
    <row r="112" spans="1:30" x14ac:dyDescent="0.25">
      <c r="A112">
        <v>112</v>
      </c>
      <c r="B112" s="221"/>
      <c r="C112" s="192" t="b">
        <f>'1. СФ-ШС-24'!C11&gt;'1. СФ-ШС-24'!E11</f>
        <v>0</v>
      </c>
      <c r="D112" s="129"/>
      <c r="E112" s="129"/>
      <c r="F112" s="192" t="b">
        <f>'1. СФ-ШС-24'!F11&gt;'1. СФ-ШС-24'!H11</f>
        <v>0</v>
      </c>
      <c r="G112" s="129"/>
      <c r="H112" s="129"/>
      <c r="I112" s="192" t="b">
        <f>'1. СФ-ШС-24'!I11&gt;'1. СФ-ШС-24'!K11</f>
        <v>0</v>
      </c>
      <c r="J112" s="129"/>
      <c r="K112" s="129"/>
      <c r="L112" s="192" t="b">
        <f>'1. СФ-ШС-24'!L11&gt;'1. СФ-ШС-24'!N11</f>
        <v>0</v>
      </c>
      <c r="M112" s="129"/>
      <c r="N112" s="129"/>
      <c r="O112" s="192" t="b">
        <f>'1. СФ-ШС-24'!O11&gt;'1. СФ-ШС-24'!Q11</f>
        <v>0</v>
      </c>
      <c r="P112" s="129"/>
      <c r="Q112" s="129"/>
      <c r="R112" s="192" t="b">
        <f>'1. СФ-ШС-24'!R11&gt;'1. СФ-ШС-24'!T11</f>
        <v>0</v>
      </c>
      <c r="S112" s="129"/>
      <c r="T112" s="129"/>
      <c r="U112" s="192" t="b">
        <f>'1. СФ-ШС-24'!U11&gt;'1. СФ-ШС-24'!W11</f>
        <v>0</v>
      </c>
      <c r="V112" s="129"/>
      <c r="W112" s="129"/>
      <c r="X112" s="192" t="b">
        <f>'1. СФ-ШС-24'!X11&gt;'1. СФ-ШС-24'!Z11</f>
        <v>0</v>
      </c>
      <c r="Y112" s="129"/>
      <c r="Z112" s="129"/>
      <c r="AA112" s="129"/>
      <c r="AB112" s="129"/>
      <c r="AD112" s="188"/>
    </row>
    <row r="113" spans="1:30" x14ac:dyDescent="0.25">
      <c r="A113">
        <v>113</v>
      </c>
      <c r="B113" s="221"/>
      <c r="C113" s="192" t="s">
        <v>500</v>
      </c>
      <c r="D113" s="129"/>
      <c r="E113" s="129"/>
      <c r="F113" s="192" t="s">
        <v>501</v>
      </c>
      <c r="G113" s="129"/>
      <c r="H113" s="129"/>
      <c r="I113" s="192" t="s">
        <v>540</v>
      </c>
      <c r="J113" s="129"/>
      <c r="K113" s="129"/>
      <c r="L113" s="192" t="s">
        <v>502</v>
      </c>
      <c r="M113" s="129"/>
      <c r="N113" s="129"/>
      <c r="O113" s="192" t="s">
        <v>503</v>
      </c>
      <c r="P113" s="129"/>
      <c r="Q113" s="129"/>
      <c r="R113" s="192" t="s">
        <v>504</v>
      </c>
      <c r="S113" s="129"/>
      <c r="T113" s="129"/>
      <c r="U113" s="192" t="s">
        <v>541</v>
      </c>
      <c r="V113" s="129"/>
      <c r="W113" s="129"/>
      <c r="X113" s="192" t="s">
        <v>542</v>
      </c>
      <c r="Y113" s="129"/>
      <c r="Z113" s="129"/>
      <c r="AA113" s="129"/>
      <c r="AB113" s="129"/>
      <c r="AD113" s="188"/>
    </row>
    <row r="114" spans="1:30" x14ac:dyDescent="0.25">
      <c r="A114">
        <v>114</v>
      </c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  <c r="L114" s="192" t="b">
        <f>'1. СФ-ШС-24'!L12&gt;'1. СФ-ШС-24'!L11*4</f>
        <v>0</v>
      </c>
      <c r="M114" s="209" t="s">
        <v>543</v>
      </c>
      <c r="N114" s="210"/>
      <c r="O114" s="192" t="b">
        <f>'1. СФ-ШС-24'!O12&gt;'1. СФ-ШС-24'!O11*4</f>
        <v>0</v>
      </c>
      <c r="P114" s="209" t="s">
        <v>543</v>
      </c>
      <c r="Q114" s="210"/>
      <c r="R114" s="129"/>
      <c r="S114" s="129"/>
      <c r="T114" s="129"/>
      <c r="U114" s="129"/>
      <c r="V114" s="129"/>
      <c r="W114" s="129"/>
      <c r="X114" s="129"/>
      <c r="Y114" s="129"/>
      <c r="AA114" s="129"/>
      <c r="AB114" s="129"/>
      <c r="AD114" s="188"/>
    </row>
    <row r="115" spans="1:30" x14ac:dyDescent="0.25">
      <c r="A115">
        <v>115</v>
      </c>
      <c r="B115" s="71" t="s">
        <v>807</v>
      </c>
      <c r="C115" s="71" t="s">
        <v>808</v>
      </c>
      <c r="D115" s="71" t="s">
        <v>809</v>
      </c>
      <c r="E115" s="71" t="s">
        <v>810</v>
      </c>
      <c r="F115" s="71" t="s">
        <v>811</v>
      </c>
      <c r="G115" s="71" t="s">
        <v>812</v>
      </c>
      <c r="H115" s="71" t="s">
        <v>813</v>
      </c>
      <c r="I115" s="71" t="s">
        <v>814</v>
      </c>
      <c r="J115" s="71" t="s">
        <v>815</v>
      </c>
      <c r="K115" s="71" t="s">
        <v>816</v>
      </c>
      <c r="L115" s="71" t="s">
        <v>817</v>
      </c>
      <c r="M115" s="71" t="s">
        <v>818</v>
      </c>
      <c r="N115" s="71" t="s">
        <v>819</v>
      </c>
      <c r="O115" s="71" t="s">
        <v>820</v>
      </c>
      <c r="P115" s="71" t="s">
        <v>821</v>
      </c>
      <c r="Q115" s="71" t="s">
        <v>822</v>
      </c>
      <c r="R115" s="71" t="s">
        <v>823</v>
      </c>
      <c r="S115" s="71" t="s">
        <v>824</v>
      </c>
      <c r="T115" s="71" t="s">
        <v>825</v>
      </c>
      <c r="U115" s="71" t="s">
        <v>826</v>
      </c>
      <c r="V115" s="71" t="s">
        <v>827</v>
      </c>
      <c r="W115" s="71" t="s">
        <v>828</v>
      </c>
      <c r="X115" s="71" t="s">
        <v>829</v>
      </c>
      <c r="Y115" s="71"/>
      <c r="Z115" s="71"/>
      <c r="AA115" s="49"/>
      <c r="AB115" s="49"/>
      <c r="AD115" s="188"/>
    </row>
    <row r="116" spans="1:30" x14ac:dyDescent="0.25">
      <c r="A116">
        <v>116</v>
      </c>
      <c r="B116" s="129"/>
      <c r="C116" s="192" t="s">
        <v>516</v>
      </c>
      <c r="D116" s="129"/>
      <c r="E116" s="129"/>
      <c r="F116" s="192" t="s">
        <v>517</v>
      </c>
      <c r="G116" s="129"/>
      <c r="H116" s="129"/>
      <c r="I116" s="192" t="s">
        <v>518</v>
      </c>
      <c r="J116" s="129"/>
      <c r="K116" s="129"/>
      <c r="L116" s="192" t="s">
        <v>519</v>
      </c>
      <c r="M116" s="129"/>
      <c r="N116" s="129"/>
      <c r="O116" s="192" t="s">
        <v>520</v>
      </c>
      <c r="P116" s="129"/>
      <c r="Q116" s="129"/>
      <c r="R116" s="192" t="s">
        <v>521</v>
      </c>
      <c r="S116" s="129"/>
      <c r="T116" s="129"/>
      <c r="U116" s="129"/>
      <c r="V116" s="129"/>
      <c r="W116" s="129"/>
      <c r="X116" s="129"/>
      <c r="Y116" s="49"/>
      <c r="Z116" s="49"/>
      <c r="AA116" s="49"/>
      <c r="AB116" s="49"/>
      <c r="AD116" s="188"/>
    </row>
    <row r="117" spans="1:30" x14ac:dyDescent="0.25">
      <c r="A117">
        <v>117</v>
      </c>
      <c r="B117" s="129"/>
      <c r="C117" s="192" t="b">
        <f>AND('1. СФ-ШС-24'!$R$3=$B$32,'1. СФ-ШС-24'!C16&gt;'1. СФ-ШС-24'!E16)</f>
        <v>0</v>
      </c>
      <c r="D117" s="129"/>
      <c r="E117" s="129"/>
      <c r="F117" s="192" t="b">
        <f>AND('1. СФ-ШС-24'!$R$3=$B$32,'1. СФ-ШС-24'!F16&gt;'1. СФ-ШС-24'!H16)</f>
        <v>0</v>
      </c>
      <c r="G117" s="129"/>
      <c r="H117" s="129"/>
      <c r="I117" s="192" t="b">
        <f>AND('1. СФ-ШС-24'!$R$3=$B$32,'1. СФ-ШС-24'!I16&gt;'1. СФ-ШС-24'!K16)</f>
        <v>0</v>
      </c>
      <c r="J117" s="129"/>
      <c r="K117" s="129"/>
      <c r="L117" s="192" t="b">
        <f>AND('1. СФ-ШС-24'!$R$3=$B$32,'1. СФ-ШС-24'!L16&gt;'1. СФ-ШС-24'!N16)</f>
        <v>0</v>
      </c>
      <c r="M117" s="129"/>
      <c r="N117" s="129"/>
      <c r="O117" s="192" t="b">
        <f>AND('1. СФ-ШС-24'!$R$3=$B$32,'1. СФ-ШС-24'!O16&gt;'1. СФ-ШС-24'!Q16)</f>
        <v>0</v>
      </c>
      <c r="P117" s="129"/>
      <c r="Q117" s="129"/>
      <c r="R117" s="192" t="b">
        <f>AND('1. СФ-ШС-24'!$R$3=$B$32,'1. СФ-ШС-24'!R16&gt;'1. СФ-ШС-24'!T16)</f>
        <v>0</v>
      </c>
      <c r="S117" s="129"/>
      <c r="T117" s="129"/>
      <c r="U117" s="129"/>
      <c r="V117" s="129"/>
      <c r="W117" s="129"/>
      <c r="X117" s="129"/>
      <c r="Y117" s="49"/>
      <c r="Z117" s="49"/>
      <c r="AA117" s="49"/>
      <c r="AB117" s="49"/>
      <c r="AD117" s="188"/>
    </row>
    <row r="118" spans="1:30" x14ac:dyDescent="0.25">
      <c r="A118">
        <v>118</v>
      </c>
      <c r="B118" s="129"/>
      <c r="C118" s="192" t="b">
        <f>'1. СФ-ШС-24'!C17&gt;'1. СФ-ШС-24'!E17</f>
        <v>0</v>
      </c>
      <c r="D118" s="129"/>
      <c r="E118" s="129"/>
      <c r="F118" s="192" t="b">
        <f>'1. СФ-ШС-24'!F17&gt;'1. СФ-ШС-24'!H17</f>
        <v>0</v>
      </c>
      <c r="G118" s="129"/>
      <c r="H118" s="129"/>
      <c r="I118" s="192" t="b">
        <f>'1. СФ-ШС-24'!I17&gt;'1. СФ-ШС-24'!K17</f>
        <v>0</v>
      </c>
      <c r="J118" s="129"/>
      <c r="K118" s="129"/>
      <c r="L118" s="192" t="b">
        <f>'1. СФ-ШС-24'!L17&gt;'1. СФ-ШС-24'!N17</f>
        <v>0</v>
      </c>
      <c r="M118" s="129"/>
      <c r="N118" s="129"/>
      <c r="O118" s="192" t="b">
        <f>'1. СФ-ШС-24'!O17&gt;'1. СФ-ШС-24'!Q17</f>
        <v>0</v>
      </c>
      <c r="P118" s="129"/>
      <c r="Q118" s="129"/>
      <c r="R118" s="192" t="b">
        <f>'1. СФ-ШС-24'!R17&gt;'1. СФ-ШС-24'!T17</f>
        <v>0</v>
      </c>
      <c r="S118" s="129"/>
      <c r="T118" s="129"/>
      <c r="U118" s="129"/>
      <c r="V118" s="129"/>
      <c r="W118" s="129"/>
      <c r="X118" s="129"/>
      <c r="Y118" s="49"/>
      <c r="Z118" s="49"/>
      <c r="AA118" s="49"/>
      <c r="AB118" s="49"/>
      <c r="AC118" s="129"/>
      <c r="AD118" s="129"/>
    </row>
    <row r="119" spans="1:30" x14ac:dyDescent="0.25">
      <c r="A119">
        <v>119</v>
      </c>
      <c r="B119" s="129"/>
      <c r="C119" s="192" t="b">
        <f>'1. СФ-ШС-24'!C18&gt;'1. СФ-ШС-24'!E18</f>
        <v>0</v>
      </c>
      <c r="D119" s="129"/>
      <c r="E119" s="129"/>
      <c r="F119" s="192" t="b">
        <f>'1. СФ-ШС-24'!F18&gt;'1. СФ-ШС-24'!H18</f>
        <v>0</v>
      </c>
      <c r="G119" s="129"/>
      <c r="H119" s="129"/>
      <c r="I119" s="192" t="b">
        <f>'1. СФ-ШС-24'!I18&gt;'1. СФ-ШС-24'!K18</f>
        <v>0</v>
      </c>
      <c r="J119" s="129"/>
      <c r="K119" s="129"/>
      <c r="L119" s="192" t="b">
        <f>'1. СФ-ШС-24'!L18&gt;'1. СФ-ШС-24'!N18</f>
        <v>0</v>
      </c>
      <c r="M119" s="129"/>
      <c r="N119" s="129"/>
      <c r="O119" s="192" t="b">
        <f>'1. СФ-ШС-24'!O18&gt;'1. СФ-ШС-24'!Q18</f>
        <v>0</v>
      </c>
      <c r="P119" s="129"/>
      <c r="Q119" s="129"/>
      <c r="R119" s="192" t="b">
        <f>'1. СФ-ШС-24'!R18&gt;'1. СФ-ШС-24'!T18</f>
        <v>0</v>
      </c>
      <c r="S119" s="129"/>
      <c r="T119" s="129"/>
      <c r="U119" s="129"/>
      <c r="V119" s="129"/>
      <c r="W119" s="129"/>
      <c r="X119" s="129"/>
      <c r="Y119" s="49"/>
      <c r="Z119" s="49"/>
      <c r="AA119" s="49"/>
      <c r="AB119" s="49"/>
      <c r="AC119" s="129"/>
      <c r="AD119" s="129"/>
    </row>
    <row r="120" spans="1:30" x14ac:dyDescent="0.25">
      <c r="A120">
        <v>120</v>
      </c>
      <c r="B120" s="129"/>
      <c r="C120" s="192" t="b">
        <f>'1. СФ-ШС-24'!C19&gt;'1. СФ-ШС-24'!E19</f>
        <v>0</v>
      </c>
      <c r="D120" s="129"/>
      <c r="E120" s="129"/>
      <c r="F120" s="192" t="b">
        <f>'1. СФ-ШС-24'!F19&gt;'1. СФ-ШС-24'!H19</f>
        <v>0</v>
      </c>
      <c r="G120" s="129"/>
      <c r="H120" s="129"/>
      <c r="I120" s="192" t="b">
        <f>'1. СФ-ШС-24'!I19&gt;'1. СФ-ШС-24'!K19</f>
        <v>0</v>
      </c>
      <c r="J120" s="129"/>
      <c r="K120" s="129"/>
      <c r="L120" s="192" t="b">
        <f>'1. СФ-ШС-24'!L19&gt;'1. СФ-ШС-24'!N19</f>
        <v>0</v>
      </c>
      <c r="M120" s="129"/>
      <c r="N120" s="129"/>
      <c r="O120" s="192" t="b">
        <f>'1. СФ-ШС-24'!O19&gt;'1. СФ-ШС-24'!Q19</f>
        <v>0</v>
      </c>
      <c r="P120" s="129"/>
      <c r="Q120" s="129"/>
      <c r="R120" s="192" t="b">
        <f>'1. СФ-ШС-24'!R19&gt;'1. СФ-ШС-24'!T19</f>
        <v>0</v>
      </c>
      <c r="S120" s="129"/>
      <c r="T120" s="129"/>
      <c r="U120" s="129"/>
      <c r="V120" s="129"/>
      <c r="W120" s="129"/>
      <c r="X120" s="129"/>
      <c r="Y120" s="49"/>
      <c r="Z120" s="49"/>
      <c r="AA120" s="49"/>
      <c r="AB120" s="49"/>
      <c r="AC120" s="129"/>
      <c r="AD120" s="129"/>
    </row>
    <row r="121" spans="1:30" x14ac:dyDescent="0.25">
      <c r="A121">
        <v>121</v>
      </c>
      <c r="AC121" s="49"/>
      <c r="AD121" s="129"/>
    </row>
    <row r="122" spans="1:30" x14ac:dyDescent="0.25">
      <c r="A122">
        <v>122</v>
      </c>
      <c r="B122" s="129" t="s">
        <v>767</v>
      </c>
      <c r="C122" s="129"/>
      <c r="D122" s="129"/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29"/>
      <c r="X122" s="129"/>
      <c r="AC122" s="49"/>
      <c r="AD122" s="49"/>
    </row>
    <row r="123" spans="1:30" x14ac:dyDescent="0.25">
      <c r="A123">
        <v>123</v>
      </c>
      <c r="B123" s="192" t="s">
        <v>721</v>
      </c>
      <c r="C123" s="192" t="s">
        <v>723</v>
      </c>
      <c r="D123" s="192" t="s">
        <v>724</v>
      </c>
      <c r="E123" s="188" t="s">
        <v>250</v>
      </c>
      <c r="F123" s="188"/>
      <c r="G123" s="188"/>
      <c r="H123" s="188"/>
      <c r="AC123" s="49"/>
      <c r="AD123" s="49"/>
    </row>
    <row r="124" spans="1:30" x14ac:dyDescent="0.25">
      <c r="A124">
        <v>124</v>
      </c>
      <c r="B124" s="190"/>
      <c r="C124" s="190"/>
      <c r="D124" s="190" t="b">
        <f>AND(NOT(OR(D125:D131,D133:D137)),SUM('1. СФ-ШС-24'!C24:T24,'1. СФ-ШС-24'!C33,'1. СФ-ШС-24'!E33)&gt;0)</f>
        <v>0</v>
      </c>
      <c r="E124" s="222" t="s">
        <v>253</v>
      </c>
      <c r="F124" s="236"/>
      <c r="G124" s="188"/>
      <c r="H124" s="236"/>
      <c r="AC124" s="49"/>
      <c r="AD124" s="49"/>
    </row>
    <row r="125" spans="1:30" x14ac:dyDescent="0.25">
      <c r="A125">
        <v>125</v>
      </c>
      <c r="B125" s="192" t="b">
        <f>TRUE</f>
        <v>1</v>
      </c>
      <c r="C125" s="192" t="b">
        <f>OR(C109:X112,C117:R120,AND('1. СФ-ШС-24'!R3=B32,'1. СФ-ШС-24'!C49&lt;0),'1. СФ-ШС-24'!C50&lt;0,'1. СФ-ШС-24'!C51&lt;0,L114,O114)</f>
        <v>0</v>
      </c>
      <c r="D125" s="190" t="b">
        <f t="shared" ref="D125:D137" si="2">AND(B125,C125)</f>
        <v>0</v>
      </c>
      <c r="E125" s="222" t="s">
        <v>742</v>
      </c>
      <c r="F125" s="226"/>
      <c r="G125" s="226"/>
      <c r="H125" s="226"/>
      <c r="R125" s="201"/>
      <c r="S125" s="201"/>
      <c r="T125" s="201"/>
      <c r="U125" s="201"/>
      <c r="V125" s="201"/>
      <c r="W125" s="201"/>
      <c r="X125" s="129"/>
      <c r="AC125" s="49"/>
      <c r="AD125" s="49"/>
    </row>
    <row r="126" spans="1:30" x14ac:dyDescent="0.25">
      <c r="A126">
        <v>126</v>
      </c>
      <c r="B126" s="192" t="b">
        <f>TRUE</f>
        <v>1</v>
      </c>
      <c r="C126" s="192" t="b">
        <f>AND(OR(C25:H25),NOT(J26))</f>
        <v>0</v>
      </c>
      <c r="D126" s="190" t="b">
        <f t="shared" si="2"/>
        <v>0</v>
      </c>
      <c r="E126" s="222" t="s">
        <v>741</v>
      </c>
      <c r="F126" s="226"/>
      <c r="G126" s="226"/>
      <c r="H126" s="226"/>
      <c r="R126" s="201"/>
      <c r="S126" s="201"/>
      <c r="T126" s="201"/>
      <c r="U126" s="201"/>
      <c r="V126" s="201"/>
      <c r="W126" s="201"/>
      <c r="X126" s="129"/>
      <c r="AC126" s="49"/>
      <c r="AD126" s="49"/>
    </row>
    <row r="127" spans="1:30" x14ac:dyDescent="0.25">
      <c r="A127">
        <v>127</v>
      </c>
      <c r="B127" s="192" t="b">
        <f>TRUE</f>
        <v>1</v>
      </c>
      <c r="C127" s="192" t="b">
        <f>OR(AND('1. СФ-ШС-24'!C34=B50,'1. СФ-ШС-24'!O11=0),'1. СФ-ШС-24'!F35&gt;'1. СФ-ШС-24'!H35,B62,B63,B64,AND(OR('1. СФ-ШС-24'!C33&gt;0,'1. СФ-ШС-24'!E33&gt;0),'1. СФ-ШС-24'!C34=B51))</f>
        <v>0</v>
      </c>
      <c r="D127" s="190" t="b">
        <f t="shared" si="2"/>
        <v>0</v>
      </c>
      <c r="E127" s="222" t="s">
        <v>743</v>
      </c>
      <c r="F127" s="226"/>
      <c r="G127" s="226"/>
      <c r="H127" s="226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</row>
    <row r="128" spans="1:30" x14ac:dyDescent="0.25">
      <c r="A128">
        <v>128</v>
      </c>
      <c r="B128" s="192" t="b">
        <f>TRUE</f>
        <v>1</v>
      </c>
      <c r="C128" s="192" t="b">
        <f>'1. СФ-ШС-24'!L39&gt;B68</f>
        <v>0</v>
      </c>
      <c r="D128" s="190" t="b">
        <f t="shared" si="2"/>
        <v>0</v>
      </c>
      <c r="E128" s="222" t="s">
        <v>744</v>
      </c>
      <c r="F128" s="129"/>
      <c r="G128" s="12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</row>
    <row r="129" spans="1:24" x14ac:dyDescent="0.25">
      <c r="A129">
        <v>129</v>
      </c>
      <c r="B129" s="192" t="b">
        <f>TRUE</f>
        <v>1</v>
      </c>
      <c r="C129" s="192" t="b">
        <f>'1. СФ-ШС-24'!L40&gt;B69</f>
        <v>0</v>
      </c>
      <c r="D129" s="190" t="b">
        <f t="shared" si="2"/>
        <v>0</v>
      </c>
      <c r="E129" s="222" t="s">
        <v>745</v>
      </c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</row>
    <row r="130" spans="1:24" x14ac:dyDescent="0.25">
      <c r="A130">
        <v>130</v>
      </c>
      <c r="B130" s="192" t="b">
        <f>TRUE</f>
        <v>1</v>
      </c>
      <c r="C130" s="192" t="b">
        <f>'1. СФ-ШС-24'!L41&gt;B70</f>
        <v>0</v>
      </c>
      <c r="D130" s="190" t="b">
        <f t="shared" si="2"/>
        <v>0</v>
      </c>
      <c r="E130" s="222" t="s">
        <v>746</v>
      </c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</row>
    <row r="131" spans="1:24" x14ac:dyDescent="0.25">
      <c r="A131">
        <v>131</v>
      </c>
      <c r="B131" s="192" t="b">
        <f>TRUE</f>
        <v>1</v>
      </c>
      <c r="C131" s="192" t="b">
        <f>AND(OR('1. СФ-ШС-24'!Q45=B74,'1. СФ-ШС-24'!Q45=B75),'1. СФ-ШС-24'!H45&gt;'1. СФ-ШС-24'!Q45)</f>
        <v>0</v>
      </c>
      <c r="D131" s="190" t="b">
        <f t="shared" si="2"/>
        <v>0</v>
      </c>
      <c r="E131" s="222" t="s">
        <v>747</v>
      </c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</row>
    <row r="132" spans="1:24" x14ac:dyDescent="0.25">
      <c r="A132">
        <v>132</v>
      </c>
      <c r="B132" s="192" t="b">
        <f>TRUE</f>
        <v>1</v>
      </c>
      <c r="C132" s="192" t="b">
        <f>J26</f>
        <v>0</v>
      </c>
      <c r="D132" s="190" t="b">
        <f t="shared" si="2"/>
        <v>0</v>
      </c>
      <c r="E132" s="222" t="s">
        <v>851</v>
      </c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</row>
    <row r="133" spans="1:24" x14ac:dyDescent="0.25">
      <c r="A133">
        <v>133</v>
      </c>
      <c r="B133" s="192" t="b">
        <f>МДанные!D161</f>
        <v>0</v>
      </c>
      <c r="C133" s="192" t="b">
        <f>NOT(МДанные!D147)</f>
        <v>1</v>
      </c>
      <c r="D133" s="190" t="b">
        <f t="shared" si="2"/>
        <v>0</v>
      </c>
      <c r="E133" s="188" t="s">
        <v>748</v>
      </c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</row>
    <row r="134" spans="1:24" x14ac:dyDescent="0.25">
      <c r="A134">
        <v>134</v>
      </c>
      <c r="B134" s="192" t="b">
        <f>МДанные!D179</f>
        <v>0</v>
      </c>
      <c r="C134" s="192" t="b">
        <f>NOT(МДанные!D165)</f>
        <v>1</v>
      </c>
      <c r="D134" s="190" t="b">
        <f t="shared" si="2"/>
        <v>0</v>
      </c>
      <c r="E134" s="188" t="s">
        <v>749</v>
      </c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</row>
    <row r="135" spans="1:24" x14ac:dyDescent="0.25">
      <c r="A135">
        <v>135</v>
      </c>
      <c r="B135" s="192" t="b">
        <f>МДанные!D197</f>
        <v>0</v>
      </c>
      <c r="C135" s="192" t="b">
        <f>NOT(МДанные!D183)</f>
        <v>1</v>
      </c>
      <c r="D135" s="190" t="b">
        <f t="shared" si="2"/>
        <v>0</v>
      </c>
      <c r="E135" s="188" t="s">
        <v>750</v>
      </c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</row>
    <row r="136" spans="1:24" x14ac:dyDescent="0.25">
      <c r="A136">
        <v>136</v>
      </c>
      <c r="B136" s="192" t="b">
        <f>МДанные!D215</f>
        <v>0</v>
      </c>
      <c r="C136" s="192" t="b">
        <f>NOT(МДанные!D201)</f>
        <v>1</v>
      </c>
      <c r="D136" s="190" t="b">
        <f t="shared" si="2"/>
        <v>0</v>
      </c>
      <c r="E136" s="188" t="s">
        <v>751</v>
      </c>
      <c r="J136" s="49"/>
    </row>
    <row r="137" spans="1:24" x14ac:dyDescent="0.25">
      <c r="A137">
        <v>137</v>
      </c>
      <c r="B137" s="192" t="b">
        <f>ДДанные!C32</f>
        <v>0</v>
      </c>
      <c r="C137" s="192" t="b">
        <f>NOT(ДДанные!C31)</f>
        <v>1</v>
      </c>
      <c r="D137" s="190" t="b">
        <f t="shared" si="2"/>
        <v>0</v>
      </c>
      <c r="E137" s="188" t="s">
        <v>752</v>
      </c>
    </row>
    <row r="138" spans="1:24" x14ac:dyDescent="0.25">
      <c r="A138">
        <v>138</v>
      </c>
    </row>
    <row r="139" spans="1:24" x14ac:dyDescent="0.25">
      <c r="A139">
        <v>139</v>
      </c>
      <c r="B139" t="s">
        <v>768</v>
      </c>
    </row>
    <row r="140" spans="1:24" x14ac:dyDescent="0.25">
      <c r="A140">
        <v>140</v>
      </c>
      <c r="B140" s="192" t="s">
        <v>607</v>
      </c>
      <c r="C140" s="190" t="s">
        <v>608</v>
      </c>
      <c r="D140" s="190" t="s">
        <v>609</v>
      </c>
    </row>
    <row r="141" spans="1:24" x14ac:dyDescent="0.25">
      <c r="A141">
        <v>141</v>
      </c>
      <c r="B141" s="192" t="s">
        <v>610</v>
      </c>
      <c r="C141" s="231">
        <v>10</v>
      </c>
      <c r="D141" s="231" t="s">
        <v>614</v>
      </c>
    </row>
    <row r="142" spans="1:24" x14ac:dyDescent="0.25">
      <c r="A142">
        <v>142</v>
      </c>
      <c r="B142" s="192" t="s">
        <v>612</v>
      </c>
      <c r="C142" s="231">
        <v>8</v>
      </c>
      <c r="D142" s="231" t="s">
        <v>613</v>
      </c>
    </row>
    <row r="143" spans="1:24" x14ac:dyDescent="0.25">
      <c r="A143">
        <v>143</v>
      </c>
      <c r="B143" s="192" t="s">
        <v>616</v>
      </c>
      <c r="C143" s="231">
        <v>6</v>
      </c>
      <c r="D143" s="231" t="s">
        <v>611</v>
      </c>
    </row>
    <row r="144" spans="1:24" x14ac:dyDescent="0.25">
      <c r="A144">
        <v>144</v>
      </c>
      <c r="B144" s="192" t="s">
        <v>615</v>
      </c>
      <c r="C144" s="231">
        <v>6</v>
      </c>
      <c r="D144" s="231" t="s">
        <v>619</v>
      </c>
    </row>
    <row r="145" spans="1:4" x14ac:dyDescent="0.25">
      <c r="A145">
        <v>145</v>
      </c>
      <c r="B145" s="192" t="s">
        <v>617</v>
      </c>
      <c r="C145" s="231">
        <v>1</v>
      </c>
      <c r="D145" s="231" t="s">
        <v>618</v>
      </c>
    </row>
    <row r="146" spans="1:4" x14ac:dyDescent="0.25">
      <c r="A146">
        <v>146</v>
      </c>
    </row>
    <row r="147" spans="1:4" x14ac:dyDescent="0.25">
      <c r="A147">
        <v>147</v>
      </c>
      <c r="B147" s="129" t="s">
        <v>553</v>
      </c>
    </row>
    <row r="148" spans="1:4" x14ac:dyDescent="0.25">
      <c r="A148">
        <v>148</v>
      </c>
    </row>
    <row r="149" spans="1:4" x14ac:dyDescent="0.25">
      <c r="A149">
        <v>149</v>
      </c>
    </row>
    <row r="150" spans="1:4" x14ac:dyDescent="0.25">
      <c r="A150">
        <v>150</v>
      </c>
    </row>
  </sheetData>
  <conditionalFormatting sqref="C39:O39">
    <cfRule type="expression" dxfId="187" priority="1">
      <formula>OR($B$62:$B$64)</formula>
    </cfRule>
  </conditionalFormatting>
  <pageMargins left="0.7" right="0.7" top="0.75" bottom="0.75" header="0.3" footer="0.3"/>
  <pageSetup paperSize="8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188"/>
  <sheetViews>
    <sheetView workbookViewId="0">
      <pane ySplit="6" topLeftCell="A7" activePane="bottomLeft" state="frozen"/>
      <selection pane="bottomLeft" activeCell="D8" sqref="D8"/>
    </sheetView>
  </sheetViews>
  <sheetFormatPr defaultRowHeight="15" x14ac:dyDescent="0.25"/>
  <cols>
    <col min="1" max="1" width="1.5703125" customWidth="1"/>
    <col min="2" max="2" width="13.5703125" customWidth="1"/>
    <col min="3" max="3" width="68.5703125" customWidth="1"/>
    <col min="4" max="5" width="11.42578125" customWidth="1"/>
    <col min="6" max="12" width="17.140625" customWidth="1"/>
    <col min="13" max="24" width="14.28515625" customWidth="1"/>
  </cols>
  <sheetData>
    <row r="1" spans="1:26" x14ac:dyDescent="0.25">
      <c r="A1" s="3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0.25" x14ac:dyDescent="0.3">
      <c r="A2" s="3"/>
      <c r="B2" s="2"/>
      <c r="C2" s="475" t="s">
        <v>336</v>
      </c>
      <c r="D2" s="475"/>
      <c r="E2" s="475"/>
      <c r="F2" s="475"/>
      <c r="G2" s="475"/>
      <c r="H2" s="475"/>
      <c r="I2" s="475"/>
      <c r="J2" s="67"/>
      <c r="K2" s="67"/>
      <c r="L2" s="1"/>
      <c r="M2" s="1"/>
      <c r="N2" s="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x14ac:dyDescent="0.25">
      <c r="A3" s="3"/>
      <c r="B3" s="2"/>
      <c r="C3" s="482" t="str">
        <f>IF(МДанные!D161,"",H72)</f>
        <v>Модуль не добавлен в расчет шкафа</v>
      </c>
      <c r="D3" s="482"/>
      <c r="E3" s="482"/>
      <c r="F3" s="482"/>
      <c r="G3" s="482"/>
      <c r="H3" s="482"/>
      <c r="I3" s="482"/>
      <c r="J3" s="187"/>
      <c r="K3" s="187"/>
      <c r="L3" s="46"/>
      <c r="M3" s="46"/>
      <c r="N3" s="46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5">
      <c r="A4" s="3"/>
      <c r="B4" s="2"/>
      <c r="C4" s="2"/>
      <c r="D4" s="2"/>
      <c r="E4" s="1"/>
      <c r="F4" s="2"/>
      <c r="G4" s="2"/>
      <c r="H4" s="2"/>
      <c r="I4" s="2"/>
      <c r="J4" s="2"/>
      <c r="K4" s="449" t="s">
        <v>0</v>
      </c>
      <c r="L4" s="45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5">
      <c r="A5" s="3"/>
      <c r="B5" s="4"/>
      <c r="C5" s="4" t="s">
        <v>770</v>
      </c>
      <c r="D5" s="4"/>
      <c r="E5" s="1"/>
      <c r="F5" s="4"/>
      <c r="G5" s="4"/>
      <c r="H5" s="4"/>
      <c r="I5" s="4"/>
      <c r="J5" s="4"/>
      <c r="K5" s="451"/>
      <c r="L5" s="452"/>
      <c r="M5" s="1"/>
      <c r="N5" s="1"/>
      <c r="O5" s="1"/>
      <c r="P5" s="1"/>
      <c r="Q5" s="1"/>
      <c r="R5" s="1"/>
      <c r="S5" s="1"/>
      <c r="T5" s="1"/>
      <c r="U5" s="1"/>
      <c r="V5" s="1"/>
      <c r="W5" s="3"/>
      <c r="X5" s="3"/>
      <c r="Y5" s="3"/>
      <c r="Z5" s="3"/>
    </row>
    <row r="6" spans="1:26" ht="51" x14ac:dyDescent="0.25">
      <c r="A6" s="3"/>
      <c r="B6" s="468" t="s">
        <v>337</v>
      </c>
      <c r="C6" s="469"/>
      <c r="D6" s="5" t="s">
        <v>1</v>
      </c>
      <c r="E6" s="372" t="s">
        <v>871</v>
      </c>
      <c r="F6" s="5" t="s">
        <v>37</v>
      </c>
      <c r="G6" s="5" t="s">
        <v>38</v>
      </c>
      <c r="H6" s="5" t="s">
        <v>2</v>
      </c>
      <c r="I6" s="5" t="s">
        <v>41</v>
      </c>
      <c r="J6" s="6" t="s">
        <v>39</v>
      </c>
      <c r="K6" s="7" t="s">
        <v>40</v>
      </c>
      <c r="L6" s="25" t="s">
        <v>644</v>
      </c>
      <c r="M6" s="1"/>
      <c r="N6" s="1"/>
      <c r="O6" s="1"/>
      <c r="P6" s="1"/>
      <c r="Q6" s="1"/>
      <c r="R6" s="1"/>
      <c r="S6" s="1"/>
      <c r="T6" s="1"/>
      <c r="U6" s="1"/>
      <c r="V6" s="1"/>
      <c r="W6" s="43"/>
      <c r="X6" s="3"/>
      <c r="Y6" s="3"/>
      <c r="Z6" s="3"/>
    </row>
    <row r="7" spans="1:26" ht="15.75" x14ac:dyDescent="0.25">
      <c r="A7" s="3"/>
      <c r="B7" s="470" t="s">
        <v>3</v>
      </c>
      <c r="C7" s="471"/>
      <c r="D7" s="471"/>
      <c r="E7" s="471"/>
      <c r="F7" s="471"/>
      <c r="G7" s="471"/>
      <c r="H7" s="471"/>
      <c r="I7" s="471"/>
      <c r="J7" s="16"/>
      <c r="K7" s="381"/>
      <c r="L7" s="19"/>
      <c r="M7" s="1"/>
      <c r="N7" s="1"/>
      <c r="O7" s="1"/>
      <c r="P7" s="1"/>
      <c r="Q7" s="1"/>
      <c r="R7" s="1"/>
      <c r="S7" s="1"/>
      <c r="T7" s="1"/>
      <c r="U7" s="1"/>
      <c r="V7" s="1"/>
      <c r="W7" s="3"/>
      <c r="X7" s="3"/>
      <c r="Y7" s="3"/>
      <c r="Z7" s="3"/>
    </row>
    <row r="8" spans="1:26" x14ac:dyDescent="0.25">
      <c r="A8" s="3"/>
      <c r="B8" s="463" t="s">
        <v>4</v>
      </c>
      <c r="C8" s="464"/>
      <c r="D8" s="36">
        <v>0</v>
      </c>
      <c r="E8" s="373">
        <f>MAX(0,MIN(МДанные!AD8,МДанные!AE8,МДанные!AF8))+D8</f>
        <v>159</v>
      </c>
      <c r="F8" s="8">
        <f>МДанные!E8*МДанные!$D$77</f>
        <v>0.28499999999999998</v>
      </c>
      <c r="G8" s="8">
        <f>МДанные!F8*МДанные!$D$77</f>
        <v>3.3249999999999997</v>
      </c>
      <c r="H8" s="9">
        <f t="shared" ref="H8:H17" si="0">D8*F8</f>
        <v>0</v>
      </c>
      <c r="I8" s="8">
        <f>IF(D8&gt;МДанные!$D$82-МДанные!P8,МДанные!$D$82-МДанные!P8,D8)</f>
        <v>0</v>
      </c>
      <c r="J8" s="9">
        <f t="shared" ref="J8:J22" si="1">I8*G8</f>
        <v>0</v>
      </c>
      <c r="K8" s="10" t="str">
        <f>МДанные!D135</f>
        <v>НЕТ</v>
      </c>
      <c r="L8" s="18"/>
      <c r="M8" s="1"/>
      <c r="N8" s="1"/>
      <c r="O8" s="1"/>
      <c r="P8" s="1"/>
      <c r="Q8" s="1"/>
      <c r="R8" s="1"/>
      <c r="S8" s="1"/>
      <c r="T8" s="1"/>
      <c r="U8" s="1"/>
      <c r="V8" s="1"/>
      <c r="W8" s="44"/>
      <c r="X8" s="3"/>
      <c r="Y8" s="3"/>
      <c r="Z8" s="3"/>
    </row>
    <row r="9" spans="1:26" x14ac:dyDescent="0.25">
      <c r="A9" s="3"/>
      <c r="B9" s="461" t="s">
        <v>5</v>
      </c>
      <c r="C9" s="462"/>
      <c r="D9" s="36">
        <v>0</v>
      </c>
      <c r="E9" s="374">
        <f>MAX(0,MIN(МДанные!AD9,МДанные!AE9,МДанные!AF9))+D9</f>
        <v>0</v>
      </c>
      <c r="F9" s="11">
        <f>(МДанные!E9+МДанные!J9)*МДанные!$D$77</f>
        <v>0.33249999999999996</v>
      </c>
      <c r="G9" s="11">
        <f>МДанные!F9*МДанные!$D$77</f>
        <v>3.3249999999999997</v>
      </c>
      <c r="H9" s="12">
        <f t="shared" si="0"/>
        <v>0</v>
      </c>
      <c r="I9" s="11">
        <f>IF(D9&gt;МДанные!$D$82-МДанные!P9,МДанные!$D$82-МДанные!P9,D9)</f>
        <v>0</v>
      </c>
      <c r="J9" s="12">
        <f t="shared" si="1"/>
        <v>0</v>
      </c>
      <c r="K9" s="13">
        <f>D9</f>
        <v>0</v>
      </c>
      <c r="L9" s="18"/>
      <c r="M9" s="1"/>
      <c r="N9" s="1"/>
      <c r="O9" s="1"/>
      <c r="P9" s="1"/>
      <c r="Q9" s="1"/>
      <c r="R9" s="1"/>
      <c r="S9" s="1"/>
      <c r="T9" s="1"/>
      <c r="U9" s="1"/>
      <c r="V9" s="1"/>
      <c r="W9" s="44"/>
      <c r="X9" s="3"/>
      <c r="Y9" s="3"/>
      <c r="Z9" s="3"/>
    </row>
    <row r="10" spans="1:26" x14ac:dyDescent="0.25">
      <c r="A10" s="3"/>
      <c r="B10" s="463" t="s">
        <v>6</v>
      </c>
      <c r="C10" s="464"/>
      <c r="D10" s="36">
        <v>0</v>
      </c>
      <c r="E10" s="373">
        <f>MAX(0,MIN(МДанные!AD10,МДанные!AE10,МДанные!AF10))+D10</f>
        <v>159</v>
      </c>
      <c r="F10" s="8">
        <f>МДанные!E10*МДанные!$D$77</f>
        <v>0.28499999999999998</v>
      </c>
      <c r="G10" s="8">
        <f>МДанные!F10*МДанные!$D$77</f>
        <v>3.3249999999999997</v>
      </c>
      <c r="H10" s="9">
        <f t="shared" si="0"/>
        <v>0</v>
      </c>
      <c r="I10" s="8">
        <f>IF(D10&gt;МДанные!$D$82-МДанные!P10,МДанные!$D$82-МДанные!P10,D10)</f>
        <v>0</v>
      </c>
      <c r="J10" s="9">
        <f t="shared" si="1"/>
        <v>0</v>
      </c>
      <c r="K10" s="10" t="str">
        <f>МДанные!D135</f>
        <v>НЕТ</v>
      </c>
      <c r="L10" s="18"/>
      <c r="M10" s="1"/>
      <c r="N10" s="1"/>
      <c r="O10" s="1"/>
      <c r="P10" s="1"/>
      <c r="Q10" s="1"/>
      <c r="R10" s="1"/>
      <c r="S10" s="1"/>
      <c r="T10" s="1"/>
      <c r="U10" s="1"/>
      <c r="V10" s="1"/>
      <c r="W10" s="44"/>
      <c r="X10" s="3"/>
      <c r="Y10" s="3"/>
      <c r="Z10" s="3"/>
    </row>
    <row r="11" spans="1:26" x14ac:dyDescent="0.25">
      <c r="A11" s="3"/>
      <c r="B11" s="461" t="s">
        <v>7</v>
      </c>
      <c r="C11" s="462"/>
      <c r="D11" s="36">
        <v>0</v>
      </c>
      <c r="E11" s="374">
        <f>MAX(0,MIN(МДанные!AD11,МДанные!AE11,МДанные!AF11))+D11</f>
        <v>0</v>
      </c>
      <c r="F11" s="11">
        <f>(МДанные!E11+МДанные!J11)*МДанные!$D$77</f>
        <v>0.33249999999999996</v>
      </c>
      <c r="G11" s="11">
        <f>МДанные!F11*МДанные!$D$77</f>
        <v>3.3249999999999997</v>
      </c>
      <c r="H11" s="12">
        <f t="shared" si="0"/>
        <v>0</v>
      </c>
      <c r="I11" s="11">
        <f>IF(D11&gt;МДанные!$D$82-МДанные!P11,МДанные!$D$82-МДанные!P11,D11)</f>
        <v>0</v>
      </c>
      <c r="J11" s="12">
        <f t="shared" si="1"/>
        <v>0</v>
      </c>
      <c r="K11" s="13">
        <f>D11</f>
        <v>0</v>
      </c>
      <c r="L11" s="18"/>
      <c r="M11" s="1"/>
      <c r="N11" s="1"/>
      <c r="O11" s="1"/>
      <c r="P11" s="1"/>
      <c r="Q11" s="1"/>
      <c r="R11" s="1"/>
      <c r="S11" s="1"/>
      <c r="T11" s="1"/>
      <c r="U11" s="1"/>
      <c r="V11" s="1"/>
      <c r="W11" s="44"/>
      <c r="X11" s="3"/>
      <c r="Y11" s="3"/>
      <c r="Z11" s="3"/>
    </row>
    <row r="12" spans="1:26" x14ac:dyDescent="0.25">
      <c r="A12" s="3"/>
      <c r="B12" s="463" t="s">
        <v>8</v>
      </c>
      <c r="C12" s="464"/>
      <c r="D12" s="36">
        <v>0</v>
      </c>
      <c r="E12" s="373">
        <f>MAX(0,MIN(МДанные!AD12,МДанные!AE12,МДанные!AF12))+D12</f>
        <v>159</v>
      </c>
      <c r="F12" s="8">
        <f>МДанные!E12*МДанные!$D$77</f>
        <v>0.28499999999999998</v>
      </c>
      <c r="G12" s="8">
        <f>МДанные!F12*МДанные!$D$77</f>
        <v>3.3249999999999997</v>
      </c>
      <c r="H12" s="9">
        <f t="shared" si="0"/>
        <v>0</v>
      </c>
      <c r="I12" s="8">
        <f>IF(D12&gt;МДанные!$D$82-МДанные!P12,МДанные!$D$82-МДанные!P12,D12)</f>
        <v>0</v>
      </c>
      <c r="J12" s="9">
        <f t="shared" si="1"/>
        <v>0</v>
      </c>
      <c r="K12" s="10" t="str">
        <f>МДанные!D135</f>
        <v>НЕТ</v>
      </c>
      <c r="L12" s="18"/>
      <c r="M12" s="1"/>
      <c r="N12" s="1"/>
      <c r="O12" s="1"/>
      <c r="P12" s="1"/>
      <c r="Q12" s="1"/>
      <c r="R12" s="1"/>
      <c r="S12" s="1"/>
      <c r="T12" s="1"/>
      <c r="U12" s="1"/>
      <c r="V12" s="1"/>
      <c r="W12" s="44"/>
      <c r="X12" s="3"/>
      <c r="Y12" s="3"/>
      <c r="Z12" s="3"/>
    </row>
    <row r="13" spans="1:26" x14ac:dyDescent="0.25">
      <c r="A13" s="3"/>
      <c r="B13" s="461" t="s">
        <v>9</v>
      </c>
      <c r="C13" s="462"/>
      <c r="D13" s="36">
        <v>0</v>
      </c>
      <c r="E13" s="374">
        <f>MAX(0,MIN(МДанные!AD13,МДанные!AE13,МДанные!AF13))+D13</f>
        <v>0</v>
      </c>
      <c r="F13" s="11">
        <f>(МДанные!E13+МДанные!J13)*МДанные!$D$77</f>
        <v>0.33249999999999996</v>
      </c>
      <c r="G13" s="11">
        <f>МДанные!F13*МДанные!$D$77</f>
        <v>3.3249999999999997</v>
      </c>
      <c r="H13" s="12">
        <f t="shared" si="0"/>
        <v>0</v>
      </c>
      <c r="I13" s="11">
        <f>IF(D13&gt;МДанные!$D$82-МДанные!P13,МДанные!$D$82-МДанные!P13,D13)</f>
        <v>0</v>
      </c>
      <c r="J13" s="12">
        <f t="shared" si="1"/>
        <v>0</v>
      </c>
      <c r="K13" s="13">
        <f>D13</f>
        <v>0</v>
      </c>
      <c r="L13" s="18"/>
      <c r="M13" s="1"/>
      <c r="N13" s="1"/>
      <c r="O13" s="1"/>
      <c r="P13" s="1"/>
      <c r="Q13" s="1"/>
      <c r="R13" s="1"/>
      <c r="S13" s="1"/>
      <c r="T13" s="1"/>
      <c r="U13" s="1"/>
      <c r="V13" s="1"/>
      <c r="W13" s="44"/>
      <c r="X13" s="3"/>
      <c r="Y13" s="3"/>
      <c r="Z13" s="3"/>
    </row>
    <row r="14" spans="1:26" x14ac:dyDescent="0.25">
      <c r="A14" s="3"/>
      <c r="B14" s="463" t="s">
        <v>10</v>
      </c>
      <c r="C14" s="464"/>
      <c r="D14" s="36">
        <v>0</v>
      </c>
      <c r="E14" s="373">
        <f>MAX(0,MIN(МДанные!AD14,МДанные!AE14,МДанные!AF14))+D14</f>
        <v>159</v>
      </c>
      <c r="F14" s="8">
        <f>МДанные!E14*МДанные!$D$77</f>
        <v>0.28499999999999998</v>
      </c>
      <c r="G14" s="8">
        <f>МДанные!F14*МДанные!$D$77</f>
        <v>3.3249999999999997</v>
      </c>
      <c r="H14" s="9">
        <f t="shared" si="0"/>
        <v>0</v>
      </c>
      <c r="I14" s="8">
        <f>IF(D14&gt;МДанные!$D$82-МДанные!P14,МДанные!$D$82-МДанные!P14,D14)</f>
        <v>0</v>
      </c>
      <c r="J14" s="9">
        <f t="shared" si="1"/>
        <v>0</v>
      </c>
      <c r="K14" s="10" t="str">
        <f>МДанные!D135</f>
        <v>НЕТ</v>
      </c>
      <c r="L14" s="18"/>
      <c r="M14" s="1"/>
      <c r="N14" s="1"/>
      <c r="O14" s="1"/>
      <c r="P14" s="1"/>
      <c r="Q14" s="1"/>
      <c r="R14" s="1"/>
      <c r="S14" s="1"/>
      <c r="T14" s="1"/>
      <c r="U14" s="1"/>
      <c r="V14" s="1"/>
      <c r="W14" s="44"/>
      <c r="X14" s="3"/>
      <c r="Y14" s="3"/>
      <c r="Z14" s="3"/>
    </row>
    <row r="15" spans="1:26" x14ac:dyDescent="0.25">
      <c r="A15" s="3"/>
      <c r="B15" s="461" t="s">
        <v>11</v>
      </c>
      <c r="C15" s="462"/>
      <c r="D15" s="36">
        <v>0</v>
      </c>
      <c r="E15" s="374">
        <f>MAX(0,MIN(МДанные!AD15,МДанные!AE15,МДанные!AF15))+D15</f>
        <v>0</v>
      </c>
      <c r="F15" s="11">
        <f>(МДанные!E15+МДанные!J15)*МДанные!$D$77</f>
        <v>0.33249999999999996</v>
      </c>
      <c r="G15" s="11">
        <f>МДанные!F15*МДанные!$D$77</f>
        <v>3.3249999999999997</v>
      </c>
      <c r="H15" s="12">
        <f t="shared" si="0"/>
        <v>0</v>
      </c>
      <c r="I15" s="11">
        <f>IF(D15&gt;МДанные!$D$82-МДанные!P15,МДанные!$D$82-МДанные!P15,D15)</f>
        <v>0</v>
      </c>
      <c r="J15" s="12">
        <f t="shared" si="1"/>
        <v>0</v>
      </c>
      <c r="K15" s="13">
        <f>D15</f>
        <v>0</v>
      </c>
      <c r="L15" s="18"/>
      <c r="M15" s="1"/>
      <c r="N15" s="1"/>
      <c r="O15" s="1"/>
      <c r="P15" s="1"/>
      <c r="Q15" s="1"/>
      <c r="R15" s="1"/>
      <c r="S15" s="1"/>
      <c r="T15" s="1"/>
      <c r="U15" s="1"/>
      <c r="V15" s="1"/>
      <c r="W15" s="44"/>
      <c r="X15" s="3"/>
      <c r="Y15" s="3"/>
      <c r="Z15" s="3"/>
    </row>
    <row r="16" spans="1:26" x14ac:dyDescent="0.25">
      <c r="A16" s="3"/>
      <c r="B16" s="463" t="s">
        <v>12</v>
      </c>
      <c r="C16" s="464"/>
      <c r="D16" s="36">
        <v>0</v>
      </c>
      <c r="E16" s="373">
        <f>MAX(0,MIN(МДанные!AD16,МДанные!AE16,МДанные!AF16))+D16</f>
        <v>159</v>
      </c>
      <c r="F16" s="8">
        <f>МДанные!E16*МДанные!$D$77</f>
        <v>0.28499999999999998</v>
      </c>
      <c r="G16" s="8">
        <f>МДанные!F16*МДанные!$D$77</f>
        <v>3.3249999999999997</v>
      </c>
      <c r="H16" s="9">
        <f t="shared" si="0"/>
        <v>0</v>
      </c>
      <c r="I16" s="8">
        <f>IF(D16&gt;МДанные!$D$82-МДанные!P16,МДанные!$D$82-МДанные!P16,D16)</f>
        <v>0</v>
      </c>
      <c r="J16" s="9">
        <f t="shared" si="1"/>
        <v>0</v>
      </c>
      <c r="K16" s="10" t="str">
        <f>МДанные!D135</f>
        <v>НЕТ</v>
      </c>
      <c r="L16" s="18"/>
      <c r="M16" s="1"/>
      <c r="N16" s="1"/>
      <c r="O16" s="1"/>
      <c r="P16" s="1"/>
      <c r="Q16" s="1"/>
      <c r="R16" s="1"/>
      <c r="S16" s="1"/>
      <c r="T16" s="1"/>
      <c r="U16" s="1"/>
      <c r="V16" s="1"/>
      <c r="W16" s="44"/>
      <c r="X16" s="3"/>
      <c r="Y16" s="3"/>
      <c r="Z16" s="3"/>
    </row>
    <row r="17" spans="1:26" x14ac:dyDescent="0.25">
      <c r="A17" s="3"/>
      <c r="B17" s="461" t="s">
        <v>13</v>
      </c>
      <c r="C17" s="462"/>
      <c r="D17" s="36">
        <v>0</v>
      </c>
      <c r="E17" s="374">
        <f>MAX(0,MIN(МДанные!AD17,МДанные!AE17,МДанные!AF17))+D17</f>
        <v>0</v>
      </c>
      <c r="F17" s="11">
        <f>(МДанные!E17+МДанные!J17)*МДанные!$D$77</f>
        <v>0.33249999999999996</v>
      </c>
      <c r="G17" s="11">
        <f>МДанные!F17*МДанные!$D$77</f>
        <v>3.3249999999999997</v>
      </c>
      <c r="H17" s="12">
        <f t="shared" si="0"/>
        <v>0</v>
      </c>
      <c r="I17" s="11">
        <f>IF(D17&gt;МДанные!$D$82-МДанные!P17,МДанные!$D$82-МДанные!P17,D17)</f>
        <v>0</v>
      </c>
      <c r="J17" s="12">
        <f t="shared" si="1"/>
        <v>0</v>
      </c>
      <c r="K17" s="13">
        <f>D17</f>
        <v>0</v>
      </c>
      <c r="L17" s="18"/>
      <c r="M17" s="1"/>
      <c r="N17" s="1"/>
      <c r="O17" s="1"/>
      <c r="P17" s="1"/>
      <c r="Q17" s="1"/>
      <c r="R17" s="1"/>
      <c r="S17" s="1"/>
      <c r="T17" s="1"/>
      <c r="U17" s="1"/>
      <c r="V17" s="1"/>
      <c r="W17" s="44"/>
      <c r="X17" s="3"/>
      <c r="Y17" s="3"/>
      <c r="Z17" s="3"/>
    </row>
    <row r="18" spans="1:26" x14ac:dyDescent="0.25">
      <c r="A18" s="3"/>
      <c r="B18" s="463" t="s">
        <v>14</v>
      </c>
      <c r="C18" s="464"/>
      <c r="D18" s="36">
        <v>0</v>
      </c>
      <c r="E18" s="373">
        <f>MAX(0,MIN(МДанные!AD18,МДанные!AE18,МДанные!AF18))+D18</f>
        <v>100</v>
      </c>
      <c r="F18" s="8">
        <f>МДанные!E18*МДанные!$D$77</f>
        <v>1.9</v>
      </c>
      <c r="G18" s="8">
        <f>МДанные!F18*МДанные!$D$77</f>
        <v>6.1749999999999998</v>
      </c>
      <c r="H18" s="9">
        <f>F18*D18+МДанные!J18*МДанные!U18</f>
        <v>0</v>
      </c>
      <c r="I18" s="8">
        <f>IF(D18&gt;МДанные!$D$82-МДанные!P18,МДанные!$D$82-МДанные!P18,D18)</f>
        <v>0</v>
      </c>
      <c r="J18" s="9">
        <f t="shared" si="1"/>
        <v>0</v>
      </c>
      <c r="K18" s="38">
        <v>0</v>
      </c>
      <c r="L18" s="18"/>
      <c r="M18" s="1"/>
      <c r="N18" s="1"/>
      <c r="O18" s="1"/>
      <c r="P18" s="1"/>
      <c r="Q18" s="1"/>
      <c r="R18" s="1"/>
      <c r="S18" s="1"/>
      <c r="T18" s="1"/>
      <c r="U18" s="1"/>
      <c r="V18" s="1"/>
      <c r="W18" s="44"/>
      <c r="X18" s="3"/>
      <c r="Y18" s="3"/>
      <c r="Z18" s="3"/>
    </row>
    <row r="19" spans="1:26" x14ac:dyDescent="0.25">
      <c r="A19" s="3"/>
      <c r="B19" s="461" t="s">
        <v>15</v>
      </c>
      <c r="C19" s="462"/>
      <c r="D19" s="36">
        <v>0</v>
      </c>
      <c r="E19" s="374">
        <f>MAX(0,MIN(МДанные!AD19,МДанные!AE19,МДанные!AF19))+D19</f>
        <v>0</v>
      </c>
      <c r="F19" s="11">
        <f>МДанные!E19*МДанные!$D$77</f>
        <v>0.3135</v>
      </c>
      <c r="G19" s="11">
        <f>МДанные!F19*МДанные!$D$77</f>
        <v>3.04</v>
      </c>
      <c r="H19" s="12">
        <f>D19*F19</f>
        <v>0</v>
      </c>
      <c r="I19" s="11">
        <f>D19</f>
        <v>0</v>
      </c>
      <c r="J19" s="12">
        <f t="shared" si="1"/>
        <v>0</v>
      </c>
      <c r="K19" s="13" t="str">
        <f>МДанные!D135</f>
        <v>НЕТ</v>
      </c>
      <c r="L19" s="18"/>
      <c r="M19" s="1"/>
      <c r="N19" s="1"/>
      <c r="O19" s="1"/>
      <c r="P19" s="1"/>
      <c r="Q19" s="1"/>
      <c r="R19" s="1"/>
      <c r="S19" s="1"/>
      <c r="T19" s="1"/>
      <c r="U19" s="1"/>
      <c r="V19" s="1"/>
      <c r="W19" s="44"/>
      <c r="X19" s="3"/>
      <c r="Y19" s="3"/>
      <c r="Z19" s="3"/>
    </row>
    <row r="20" spans="1:26" x14ac:dyDescent="0.25">
      <c r="A20" s="3"/>
      <c r="B20" s="463" t="s">
        <v>16</v>
      </c>
      <c r="C20" s="464"/>
      <c r="D20" s="36">
        <v>0</v>
      </c>
      <c r="E20" s="373">
        <f>MAX(0,MIN(МДанные!AD20,МДанные!AE20,МДанные!AF20))+D20</f>
        <v>99</v>
      </c>
      <c r="F20" s="8">
        <f>МДанные!E20*МДанные!$D$77</f>
        <v>0.437</v>
      </c>
      <c r="G20" s="8">
        <f>МДанные!F20*МДанные!$D$77</f>
        <v>0</v>
      </c>
      <c r="H20" s="9">
        <f>F20*D20+МДанные!J20*МДанные!U20</f>
        <v>0</v>
      </c>
      <c r="I20" s="8">
        <v>0</v>
      </c>
      <c r="J20" s="9">
        <f t="shared" si="1"/>
        <v>0</v>
      </c>
      <c r="K20" s="39">
        <v>0</v>
      </c>
      <c r="L20" s="18"/>
      <c r="M20" s="1"/>
      <c r="N20" s="1"/>
      <c r="O20" s="1"/>
      <c r="P20" s="1"/>
      <c r="Q20" s="1"/>
      <c r="R20" s="1"/>
      <c r="S20" s="1"/>
      <c r="T20" s="1"/>
      <c r="U20" s="1"/>
      <c r="V20" s="1"/>
      <c r="W20" s="44"/>
      <c r="X20" s="3"/>
      <c r="Y20" s="3"/>
      <c r="Z20" s="3"/>
    </row>
    <row r="21" spans="1:26" x14ac:dyDescent="0.25">
      <c r="A21" s="3"/>
      <c r="B21" s="461" t="s">
        <v>17</v>
      </c>
      <c r="C21" s="462"/>
      <c r="D21" s="36">
        <v>0</v>
      </c>
      <c r="E21" s="374">
        <f>MAX(0,MIN(МДанные!AD21,МДанные!AE21,МДанные!AF21))+D21</f>
        <v>49</v>
      </c>
      <c r="F21" s="11">
        <f>МДанные!E21*МДанные!$D$77</f>
        <v>0.66499999999999992</v>
      </c>
      <c r="G21" s="11">
        <f>МДанные!F21*МДанные!$D$77</f>
        <v>0</v>
      </c>
      <c r="H21" s="12">
        <f>F21*D21+МДанные!J21*МДанные!U21</f>
        <v>0</v>
      </c>
      <c r="I21" s="11">
        <v>0</v>
      </c>
      <c r="J21" s="12">
        <f t="shared" si="1"/>
        <v>0</v>
      </c>
      <c r="K21" s="39">
        <v>0</v>
      </c>
      <c r="L21" s="18"/>
      <c r="M21" s="1"/>
      <c r="N21" s="1"/>
      <c r="O21" s="1"/>
      <c r="P21" s="1"/>
      <c r="Q21" s="1"/>
      <c r="R21" s="1"/>
      <c r="S21" s="1"/>
      <c r="T21" s="1"/>
      <c r="U21" s="1"/>
      <c r="V21" s="1"/>
      <c r="W21" s="44"/>
      <c r="X21" s="3"/>
      <c r="Y21" s="3"/>
      <c r="Z21" s="3"/>
    </row>
    <row r="22" spans="1:26" x14ac:dyDescent="0.25">
      <c r="A22" s="3"/>
      <c r="B22" s="463" t="s">
        <v>18</v>
      </c>
      <c r="C22" s="464"/>
      <c r="D22" s="36">
        <v>0</v>
      </c>
      <c r="E22" s="373">
        <f>MAX(0,MIN(МДанные!AD22,МДанные!AE22,МДанные!AF22))+D22</f>
        <v>49</v>
      </c>
      <c r="F22" s="8">
        <f>МДанные!E22*МДанные!$D$77</f>
        <v>0.66499999999999992</v>
      </c>
      <c r="G22" s="8">
        <f>МДанные!F22*МДанные!$D$77</f>
        <v>0</v>
      </c>
      <c r="H22" s="9">
        <f>F22*D22+МДанные!J22*МДанные!U22</f>
        <v>0</v>
      </c>
      <c r="I22" s="8">
        <v>0</v>
      </c>
      <c r="J22" s="9">
        <f t="shared" si="1"/>
        <v>0</v>
      </c>
      <c r="K22" s="40">
        <v>0</v>
      </c>
      <c r="L22" s="152"/>
      <c r="M22" s="1"/>
      <c r="N22" s="1"/>
      <c r="O22" s="1"/>
      <c r="P22" s="1"/>
      <c r="Q22" s="1"/>
      <c r="R22" s="1"/>
      <c r="S22" s="1"/>
      <c r="T22" s="1"/>
      <c r="U22" s="1"/>
      <c r="V22" s="1"/>
      <c r="W22" s="44"/>
      <c r="X22" s="3"/>
      <c r="Y22" s="3"/>
      <c r="Z22" s="3"/>
    </row>
    <row r="23" spans="1:26" ht="15.75" x14ac:dyDescent="0.25">
      <c r="A23" s="3"/>
      <c r="B23" s="472" t="s">
        <v>19</v>
      </c>
      <c r="C23" s="473"/>
      <c r="D23" s="473"/>
      <c r="E23" s="473"/>
      <c r="F23" s="473"/>
      <c r="G23" s="473"/>
      <c r="H23" s="473"/>
      <c r="I23" s="473"/>
      <c r="J23" s="26"/>
      <c r="K23" s="382"/>
      <c r="L23" s="24"/>
      <c r="M23" s="1"/>
      <c r="N23" s="1"/>
      <c r="O23" s="1"/>
      <c r="P23" s="1"/>
      <c r="Q23" s="1"/>
      <c r="R23" s="1"/>
      <c r="S23" s="1"/>
      <c r="T23" s="1"/>
      <c r="U23" s="1"/>
      <c r="V23" s="1"/>
      <c r="W23" s="44"/>
      <c r="X23" s="3"/>
      <c r="Y23" s="3"/>
      <c r="Z23" s="3"/>
    </row>
    <row r="24" spans="1:26" x14ac:dyDescent="0.25">
      <c r="A24" s="3"/>
      <c r="B24" s="461" t="s">
        <v>20</v>
      </c>
      <c r="C24" s="462"/>
      <c r="D24" s="36">
        <v>0</v>
      </c>
      <c r="E24" s="374">
        <f>MAX(0,MIN(МДанные!AD24,МДанные!AE24,МДанные!AF24))+D24</f>
        <v>159</v>
      </c>
      <c r="F24" s="11">
        <f>МДанные!E24*МДанные!$D$77</f>
        <v>0.627</v>
      </c>
      <c r="G24" s="11">
        <f>МДанные!F24*МДанные!$D$77</f>
        <v>1.71</v>
      </c>
      <c r="H24" s="12">
        <f t="shared" ref="H24:H29" si="2">D24*F24</f>
        <v>0</v>
      </c>
      <c r="I24" s="11">
        <f>IF(D24&gt;МДанные!$D$82-МДанные!P24,МДанные!$D$82-МДанные!P24,D24)</f>
        <v>0</v>
      </c>
      <c r="J24" s="12">
        <f t="shared" ref="J24:J35" si="3">I24*G24</f>
        <v>0</v>
      </c>
      <c r="K24" s="15" t="str">
        <f>МДанные!D135</f>
        <v>НЕТ</v>
      </c>
      <c r="L24" s="18"/>
      <c r="M24" s="1"/>
      <c r="N24" s="1"/>
      <c r="O24" s="1"/>
      <c r="P24" s="1"/>
      <c r="Q24" s="1"/>
      <c r="R24" s="1"/>
      <c r="S24" s="1"/>
      <c r="T24" s="1"/>
      <c r="U24" s="1"/>
      <c r="V24" s="1"/>
      <c r="W24" s="44"/>
      <c r="X24" s="3"/>
      <c r="Y24" s="3"/>
      <c r="Z24" s="3"/>
    </row>
    <row r="25" spans="1:26" x14ac:dyDescent="0.25">
      <c r="A25" s="3"/>
      <c r="B25" s="463" t="s">
        <v>21</v>
      </c>
      <c r="C25" s="464"/>
      <c r="D25" s="36">
        <v>0</v>
      </c>
      <c r="E25" s="373">
        <f>MAX(0,MIN(МДанные!AD25,МДанные!AE25,МДанные!AF25))+D25</f>
        <v>0</v>
      </c>
      <c r="F25" s="8">
        <f>(МДанные!E25+МДанные!J25)*МДанные!$D$77</f>
        <v>0.67449999999999999</v>
      </c>
      <c r="G25" s="8">
        <f>МДанные!F25*МДанные!$D$77</f>
        <v>1.71</v>
      </c>
      <c r="H25" s="9">
        <f t="shared" si="2"/>
        <v>0</v>
      </c>
      <c r="I25" s="8">
        <f>IF(D25&gt;МДанные!$D$82-МДанные!P25,МДанные!$D$82-МДанные!P25,D25)</f>
        <v>0</v>
      </c>
      <c r="J25" s="9">
        <f t="shared" si="3"/>
        <v>0</v>
      </c>
      <c r="K25" s="14">
        <f>D25</f>
        <v>0</v>
      </c>
      <c r="L25" s="18"/>
      <c r="M25" s="1"/>
      <c r="N25" s="1"/>
      <c r="O25" s="1"/>
      <c r="P25" s="1"/>
      <c r="Q25" s="1"/>
      <c r="R25" s="1"/>
      <c r="S25" s="1"/>
      <c r="T25" s="1"/>
      <c r="U25" s="1"/>
      <c r="V25" s="1"/>
      <c r="W25" s="44"/>
      <c r="X25" s="3"/>
      <c r="Y25" s="3"/>
      <c r="Z25" s="3"/>
    </row>
    <row r="26" spans="1:26" x14ac:dyDescent="0.25">
      <c r="A26" s="3"/>
      <c r="B26" s="461" t="s">
        <v>22</v>
      </c>
      <c r="C26" s="462"/>
      <c r="D26" s="36">
        <v>0</v>
      </c>
      <c r="E26" s="374">
        <f>MAX(0,MIN(МДанные!AD26,МДанные!AE26,МДанные!AF26))+D26</f>
        <v>159</v>
      </c>
      <c r="F26" s="11">
        <f>МДанные!E26*МДанные!$D$77</f>
        <v>0.627</v>
      </c>
      <c r="G26" s="11">
        <f>МДанные!F26*МДанные!$D$77</f>
        <v>1.71</v>
      </c>
      <c r="H26" s="12">
        <f t="shared" si="2"/>
        <v>0</v>
      </c>
      <c r="I26" s="11">
        <f>IF(D26&gt;МДанные!$D$82-МДанные!P26,МДанные!$D$82-МДанные!P26,D26)</f>
        <v>0</v>
      </c>
      <c r="J26" s="12">
        <f t="shared" si="3"/>
        <v>0</v>
      </c>
      <c r="K26" s="15" t="str">
        <f>МДанные!D135</f>
        <v>НЕТ</v>
      </c>
      <c r="L26" s="18"/>
      <c r="M26" s="1"/>
      <c r="N26" s="1"/>
      <c r="O26" s="1"/>
      <c r="P26" s="1"/>
      <c r="Q26" s="1"/>
      <c r="R26" s="1"/>
      <c r="S26" s="1"/>
      <c r="T26" s="1"/>
      <c r="U26" s="1"/>
      <c r="V26" s="1"/>
      <c r="W26" s="44"/>
      <c r="X26" s="3"/>
      <c r="Y26" s="3"/>
      <c r="Z26" s="3"/>
    </row>
    <row r="27" spans="1:26" x14ac:dyDescent="0.25">
      <c r="A27" s="3"/>
      <c r="B27" s="463" t="s">
        <v>23</v>
      </c>
      <c r="C27" s="464"/>
      <c r="D27" s="36">
        <v>0</v>
      </c>
      <c r="E27" s="373">
        <f>MAX(0,MIN(МДанные!AD27,МДанные!AE27,МДанные!AF27))+D27</f>
        <v>0</v>
      </c>
      <c r="F27" s="8">
        <f>(МДанные!E27+МДанные!J27)*МДанные!$D$77</f>
        <v>0.67449999999999999</v>
      </c>
      <c r="G27" s="8">
        <f>МДанные!F27*МДанные!$D$77</f>
        <v>1.71</v>
      </c>
      <c r="H27" s="9">
        <f t="shared" si="2"/>
        <v>0</v>
      </c>
      <c r="I27" s="8">
        <f>IF(D27&gt;МДанные!$D$82-МДанные!P27,МДанные!$D$82-МДанные!P27,D27)</f>
        <v>0</v>
      </c>
      <c r="J27" s="9">
        <f t="shared" si="3"/>
        <v>0</v>
      </c>
      <c r="K27" s="14">
        <f>D27</f>
        <v>0</v>
      </c>
      <c r="L27" s="18"/>
      <c r="M27" s="1"/>
      <c r="N27" s="1"/>
      <c r="O27" s="1"/>
      <c r="P27" s="1"/>
      <c r="Q27" s="1"/>
      <c r="R27" s="1"/>
      <c r="S27" s="1"/>
      <c r="T27" s="1"/>
      <c r="U27" s="1"/>
      <c r="V27" s="1"/>
      <c r="W27" s="44"/>
      <c r="X27" s="3"/>
      <c r="Y27" s="3"/>
      <c r="Z27" s="3"/>
    </row>
    <row r="28" spans="1:26" x14ac:dyDescent="0.25">
      <c r="A28" s="3"/>
      <c r="B28" s="461" t="s">
        <v>24</v>
      </c>
      <c r="C28" s="462"/>
      <c r="D28" s="37">
        <v>0</v>
      </c>
      <c r="E28" s="374">
        <f>MAX(0,MIN(МДанные!AD28,МДанные!AE28,МДанные!AF28))+D28</f>
        <v>159</v>
      </c>
      <c r="F28" s="11">
        <f>МДанные!E28*МДанные!$D$77</f>
        <v>0.627</v>
      </c>
      <c r="G28" s="11">
        <f>МДанные!F28*МДанные!$D$77</f>
        <v>1.71</v>
      </c>
      <c r="H28" s="12">
        <f t="shared" si="2"/>
        <v>0</v>
      </c>
      <c r="I28" s="11">
        <f>IF(D28&gt;МДанные!$D$82-МДанные!P28,МДанные!$D$82-МДанные!P28,D28)</f>
        <v>0</v>
      </c>
      <c r="J28" s="12">
        <f t="shared" si="3"/>
        <v>0</v>
      </c>
      <c r="K28" s="15" t="str">
        <f>МДанные!D135</f>
        <v>НЕТ</v>
      </c>
      <c r="L28" s="18"/>
      <c r="M28" s="1"/>
      <c r="N28" s="1"/>
      <c r="O28" s="1"/>
      <c r="P28" s="1"/>
      <c r="Q28" s="1"/>
      <c r="R28" s="1"/>
      <c r="S28" s="1"/>
      <c r="T28" s="1"/>
      <c r="U28" s="1"/>
      <c r="V28" s="1"/>
      <c r="W28" s="44"/>
      <c r="X28" s="3"/>
      <c r="Y28" s="3"/>
      <c r="Z28" s="3"/>
    </row>
    <row r="29" spans="1:26" x14ac:dyDescent="0.25">
      <c r="A29" s="3"/>
      <c r="B29" s="463" t="s">
        <v>25</v>
      </c>
      <c r="C29" s="464"/>
      <c r="D29" s="36">
        <v>0</v>
      </c>
      <c r="E29" s="373">
        <f>MAX(0,MIN(МДанные!AD29,МДанные!AE29,МДанные!AF29))+D29</f>
        <v>0</v>
      </c>
      <c r="F29" s="8">
        <f>(МДанные!E29+МДанные!J29)*МДанные!$D$77</f>
        <v>0.67449999999999999</v>
      </c>
      <c r="G29" s="8">
        <f>МДанные!F29*МДанные!$D$77</f>
        <v>1.71</v>
      </c>
      <c r="H29" s="9">
        <f t="shared" si="2"/>
        <v>0</v>
      </c>
      <c r="I29" s="8">
        <f>IF(D29&gt;МДанные!$D$82-МДанные!P29,МДанные!$D$82-МДанные!P29,D29)</f>
        <v>0</v>
      </c>
      <c r="J29" s="9">
        <f t="shared" si="3"/>
        <v>0</v>
      </c>
      <c r="K29" s="14">
        <f>D29</f>
        <v>0</v>
      </c>
      <c r="L29" s="162"/>
      <c r="M29" s="1"/>
      <c r="N29" s="1"/>
      <c r="O29" s="1"/>
      <c r="P29" s="1"/>
      <c r="Q29" s="1"/>
      <c r="R29" s="1"/>
      <c r="S29" s="1"/>
      <c r="T29" s="1"/>
      <c r="U29" s="1"/>
      <c r="V29" s="1"/>
      <c r="W29" s="44"/>
      <c r="X29" s="3"/>
      <c r="Y29" s="3"/>
      <c r="Z29" s="3"/>
    </row>
    <row r="30" spans="1:26" x14ac:dyDescent="0.25">
      <c r="A30" s="3"/>
      <c r="B30" s="461" t="s">
        <v>26</v>
      </c>
      <c r="C30" s="462"/>
      <c r="D30" s="36">
        <v>0</v>
      </c>
      <c r="E30" s="374">
        <f>MAX(0,MIN(МДанные!AD30,МДанные!AE30,МДанные!AF30))+D30</f>
        <v>159</v>
      </c>
      <c r="F30" s="11">
        <f>МДанные!E30*МДанные!$D$77</f>
        <v>0.43224999999999997</v>
      </c>
      <c r="G30" s="11">
        <f>МДанные!F30*МДанные!$D$77</f>
        <v>1.9</v>
      </c>
      <c r="H30" s="12">
        <f>F30*D30+МДанные!J30*МДанные!U30</f>
        <v>0</v>
      </c>
      <c r="I30" s="11">
        <f>IF(D30&gt;МДанные!$D$82-МДанные!P30,МДанные!$D$82-МДанные!P30,D30)</f>
        <v>0</v>
      </c>
      <c r="J30" s="12">
        <f t="shared" si="3"/>
        <v>0</v>
      </c>
      <c r="K30" s="39">
        <v>0</v>
      </c>
      <c r="L30" s="161">
        <f>ШДанные!C23</f>
        <v>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44"/>
      <c r="X30" s="3"/>
      <c r="Y30" s="3"/>
      <c r="Z30" s="3"/>
    </row>
    <row r="31" spans="1:26" x14ac:dyDescent="0.25">
      <c r="A31" s="3"/>
      <c r="B31" s="463" t="s">
        <v>27</v>
      </c>
      <c r="C31" s="464"/>
      <c r="D31" s="36">
        <v>0</v>
      </c>
      <c r="E31" s="373">
        <f>MAX(0,MIN(МДанные!AD31,МДанные!AE31,МДанные!AF31))+D31</f>
        <v>159</v>
      </c>
      <c r="F31" s="8">
        <f>МДанные!E31*МДанные!$D$77</f>
        <v>0.48449999999999999</v>
      </c>
      <c r="G31" s="8">
        <f>МДанные!F31*МДанные!$D$77</f>
        <v>1.9</v>
      </c>
      <c r="H31" s="9">
        <f>F31*D31+МДанные!J31*МДанные!U31</f>
        <v>0</v>
      </c>
      <c r="I31" s="8">
        <f>IF(D31&gt;МДанные!$D$82-МДанные!P31,МДанные!$D$82-МДанные!P31,D31)</f>
        <v>0</v>
      </c>
      <c r="J31" s="9">
        <f t="shared" si="3"/>
        <v>0</v>
      </c>
      <c r="K31" s="39">
        <v>0</v>
      </c>
      <c r="L31" s="163">
        <f>ШДанные!D23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44"/>
      <c r="X31" s="3"/>
      <c r="Y31" s="3"/>
      <c r="Z31" s="3"/>
    </row>
    <row r="32" spans="1:26" x14ac:dyDescent="0.25">
      <c r="A32" s="3"/>
      <c r="B32" s="461" t="s">
        <v>28</v>
      </c>
      <c r="C32" s="462"/>
      <c r="D32" s="36">
        <v>0</v>
      </c>
      <c r="E32" s="374">
        <f>MAX(0,MIN(МДанные!AD32,МДанные!AE32,МДанные!AF32))+D32</f>
        <v>159</v>
      </c>
      <c r="F32" s="11">
        <f>МДанные!E32*МДанные!$D$77</f>
        <v>0.48449999999999999</v>
      </c>
      <c r="G32" s="11">
        <f>МДанные!F32*МДанные!$D$77</f>
        <v>1.9</v>
      </c>
      <c r="H32" s="12">
        <f>F32*D32+МДанные!J32*МДанные!U32</f>
        <v>0</v>
      </c>
      <c r="I32" s="11">
        <f>IF(D32&gt;МДанные!$D$82-МДанные!P32,МДанные!$D$82-МДанные!P32,D32)</f>
        <v>0</v>
      </c>
      <c r="J32" s="12">
        <f t="shared" si="3"/>
        <v>0</v>
      </c>
      <c r="K32" s="39">
        <v>0</v>
      </c>
      <c r="L32" s="161">
        <f>ШДанные!E23</f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44"/>
      <c r="X32" s="3"/>
      <c r="Y32" s="3"/>
      <c r="Z32" s="3"/>
    </row>
    <row r="33" spans="1:26" x14ac:dyDescent="0.25">
      <c r="A33" s="3"/>
      <c r="B33" s="463" t="s">
        <v>29</v>
      </c>
      <c r="C33" s="464"/>
      <c r="D33" s="36">
        <v>0</v>
      </c>
      <c r="E33" s="373">
        <f>MAX(0,MIN(МДанные!AD33,МДанные!AE33,МДанные!AF33))+D33</f>
        <v>79</v>
      </c>
      <c r="F33" s="8">
        <f>МДанные!E33*МДанные!$D$77</f>
        <v>0.56999999999999995</v>
      </c>
      <c r="G33" s="8">
        <f>МДанные!F33*МДанные!$D$77</f>
        <v>1.9</v>
      </c>
      <c r="H33" s="9">
        <f>F33*D33+МДанные!J33*МДанные!U33</f>
        <v>0</v>
      </c>
      <c r="I33" s="8">
        <f>IF(D33*2&gt;МДанные!$D$82-МДанные!P33,МДанные!$D$82-МДанные!P33,D33*2)</f>
        <v>0</v>
      </c>
      <c r="J33" s="9">
        <f t="shared" si="3"/>
        <v>0</v>
      </c>
      <c r="K33" s="39">
        <v>0</v>
      </c>
      <c r="L33" s="163">
        <f>ШДанные!F23</f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44"/>
      <c r="X33" s="3"/>
      <c r="Y33" s="3"/>
      <c r="Z33" s="3"/>
    </row>
    <row r="34" spans="1:26" x14ac:dyDescent="0.25">
      <c r="A34" s="3"/>
      <c r="B34" s="461" t="s">
        <v>30</v>
      </c>
      <c r="C34" s="462"/>
      <c r="D34" s="36">
        <v>0</v>
      </c>
      <c r="E34" s="374">
        <f>MAX(0,MIN(МДанные!AD34,МДанные!AE34,МДанные!AF34))+D34</f>
        <v>53</v>
      </c>
      <c r="F34" s="11">
        <f>МДанные!E34*МДанные!$D$77</f>
        <v>0.627</v>
      </c>
      <c r="G34" s="11">
        <f>МДанные!F34*МДанные!$D$77</f>
        <v>1.9</v>
      </c>
      <c r="H34" s="12">
        <f>F34*D34+МДанные!J34*МДанные!U34</f>
        <v>0</v>
      </c>
      <c r="I34" s="11">
        <f>IF(D34*3&gt;МДанные!$D$82-МДанные!P34,МДанные!$D$82-МДанные!P34,D34*3)</f>
        <v>0</v>
      </c>
      <c r="J34" s="12">
        <f t="shared" si="3"/>
        <v>0</v>
      </c>
      <c r="K34" s="40">
        <v>0</v>
      </c>
      <c r="L34" s="161">
        <f>ШДанные!G23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44"/>
      <c r="X34" s="3"/>
      <c r="Y34" s="3"/>
      <c r="Z34" s="3"/>
    </row>
    <row r="35" spans="1:26" x14ac:dyDescent="0.25">
      <c r="A35" s="3"/>
      <c r="B35" s="463" t="s">
        <v>628</v>
      </c>
      <c r="C35" s="464"/>
      <c r="D35" s="36">
        <v>0</v>
      </c>
      <c r="E35" s="373">
        <f>MAX(0,MIN(МДанные!AD35,МДанные!AE35,МДанные!AF35))+D35</f>
        <v>159</v>
      </c>
      <c r="F35" s="8">
        <f>МДанные!E35*МДанные!$D$77</f>
        <v>0.47499999999999998</v>
      </c>
      <c r="G35" s="8">
        <f>МДанные!F35*МДанные!$D$77</f>
        <v>1.9</v>
      </c>
      <c r="H35" s="9">
        <f>F35*D35+МДанные!J35*МДанные!U35</f>
        <v>0</v>
      </c>
      <c r="I35" s="8">
        <f>IF(D35&gt;МДанные!$D$82-МДанные!P35,МДанные!$D$82-МДанные!P35,D35)</f>
        <v>0</v>
      </c>
      <c r="J35" s="9">
        <f t="shared" si="3"/>
        <v>0</v>
      </c>
      <c r="K35" s="39">
        <v>0</v>
      </c>
      <c r="L35" s="163">
        <f>ШДанные!H23</f>
        <v>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44"/>
      <c r="X35" s="3"/>
      <c r="Y35" s="3"/>
      <c r="Z35" s="3"/>
    </row>
    <row r="36" spans="1:26" x14ac:dyDescent="0.25">
      <c r="A36" s="3"/>
      <c r="B36" s="463" t="s">
        <v>629</v>
      </c>
      <c r="C36" s="464"/>
      <c r="D36" s="36">
        <v>0</v>
      </c>
      <c r="E36" s="373">
        <f>MAX(0,MIN(МДанные!AD36,МДанные!AE36,МДанные!AF36))+D36</f>
        <v>6</v>
      </c>
      <c r="F36" s="8">
        <f>МДанные!$D$77*(МДанные!E36+МДанные!D$87)</f>
        <v>8.0749999999999993</v>
      </c>
      <c r="G36" s="8">
        <f>МДанные!$D$77*(МДанные!F36+МДанные!E$87)</f>
        <v>25.65</v>
      </c>
      <c r="H36" s="9">
        <f>F36*D36+МДанные!J36*МДанные!U36</f>
        <v>0</v>
      </c>
      <c r="I36" s="8">
        <f>IF(D36&gt;МДанные!$D$82-МДанные!P36,МДанные!$D$82-МДанные!P36,D36)</f>
        <v>0</v>
      </c>
      <c r="J36" s="9">
        <f>МДанные!$D$77*(I36*МДанные!F36+МДанные!E$87*D36)</f>
        <v>0</v>
      </c>
      <c r="K36" s="38">
        <v>0</v>
      </c>
      <c r="L36" s="186"/>
      <c r="M36" s="1"/>
      <c r="N36" s="1"/>
      <c r="O36" s="1"/>
      <c r="P36" s="1"/>
      <c r="Q36" s="1"/>
      <c r="R36" s="1"/>
      <c r="S36" s="1"/>
      <c r="T36" s="1"/>
      <c r="U36" s="1"/>
      <c r="V36" s="1"/>
      <c r="W36" s="44"/>
      <c r="X36" s="3"/>
      <c r="Y36" s="3"/>
      <c r="Z36" s="3"/>
    </row>
    <row r="37" spans="1:26" x14ac:dyDescent="0.25">
      <c r="A37" s="3"/>
      <c r="B37" s="461" t="s">
        <v>375</v>
      </c>
      <c r="C37" s="462"/>
      <c r="D37" s="36">
        <v>0</v>
      </c>
      <c r="E37" s="374">
        <f>MAX(0,MIN(МДанные!AD37,МДанные!AE37,МДанные!AF37))+D37</f>
        <v>31</v>
      </c>
      <c r="F37" s="11">
        <f>(МДанные!E37+МДанные!D90)*МДанные!$D$77</f>
        <v>2.2800000000000002</v>
      </c>
      <c r="G37" s="11">
        <f>МДанные!F37*МДанные!$D$77</f>
        <v>0</v>
      </c>
      <c r="H37" s="12">
        <f>F37*D37+МДанные!J37*МДанные!U37</f>
        <v>0</v>
      </c>
      <c r="I37" s="11">
        <v>0</v>
      </c>
      <c r="J37" s="12">
        <f>I37*G37</f>
        <v>0</v>
      </c>
      <c r="K37" s="15" t="s">
        <v>224</v>
      </c>
      <c r="L37" s="152"/>
      <c r="M37" s="1"/>
      <c r="N37" s="1"/>
      <c r="O37" s="1"/>
      <c r="P37" s="1"/>
      <c r="Q37" s="1"/>
      <c r="R37" s="1"/>
      <c r="S37" s="1"/>
      <c r="T37" s="1"/>
      <c r="U37" s="1"/>
      <c r="V37" s="1"/>
      <c r="W37" s="44"/>
      <c r="X37" s="3"/>
      <c r="Y37" s="3"/>
      <c r="Z37" s="3"/>
    </row>
    <row r="38" spans="1:26" ht="15.75" x14ac:dyDescent="0.25">
      <c r="A38" s="3"/>
      <c r="B38" s="466" t="s">
        <v>31</v>
      </c>
      <c r="C38" s="467"/>
      <c r="D38" s="467"/>
      <c r="E38" s="467"/>
      <c r="F38" s="467"/>
      <c r="G38" s="467"/>
      <c r="H38" s="467"/>
      <c r="I38" s="467"/>
      <c r="J38" s="16"/>
      <c r="K38" s="383"/>
      <c r="L38" s="19"/>
      <c r="M38" s="1"/>
      <c r="N38" s="1"/>
      <c r="O38" s="1"/>
      <c r="P38" s="1"/>
      <c r="Q38" s="1"/>
      <c r="R38" s="1"/>
      <c r="S38" s="1"/>
      <c r="T38" s="1"/>
      <c r="U38" s="1"/>
      <c r="V38" s="1"/>
      <c r="W38" s="44"/>
      <c r="X38" s="3"/>
      <c r="Y38" s="3"/>
      <c r="Z38" s="3"/>
    </row>
    <row r="39" spans="1:26" x14ac:dyDescent="0.25">
      <c r="A39" s="3"/>
      <c r="B39" s="459" t="s">
        <v>428</v>
      </c>
      <c r="C39" s="460"/>
      <c r="D39" s="36">
        <v>0</v>
      </c>
      <c r="E39" s="373">
        <f>MAX(0,MIN(МДанные!AD39,МДанные!AE39,МДанные!AF39))+D39</f>
        <v>82</v>
      </c>
      <c r="F39" s="155">
        <f>МДанные!E39*МДанные!$D$77</f>
        <v>0.30399999999999999</v>
      </c>
      <c r="G39" s="155">
        <f>МДанные!F39*МДанные!$D$77</f>
        <v>2.375</v>
      </c>
      <c r="H39" s="156">
        <f t="shared" ref="H39:H55" si="4">D39*F39</f>
        <v>0</v>
      </c>
      <c r="I39" s="155">
        <f t="shared" ref="I39:I55" si="5">D39</f>
        <v>0</v>
      </c>
      <c r="J39" s="156">
        <f>I39*G39</f>
        <v>0</v>
      </c>
      <c r="K39" s="157" t="str">
        <f>МДанные!$D$135</f>
        <v>НЕТ</v>
      </c>
      <c r="L39" s="41" t="s">
        <v>131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44"/>
      <c r="X39" s="3"/>
      <c r="Y39" s="3"/>
      <c r="Z39" s="3"/>
    </row>
    <row r="40" spans="1:26" x14ac:dyDescent="0.25">
      <c r="A40" s="3"/>
      <c r="B40" s="459" t="s">
        <v>429</v>
      </c>
      <c r="C40" s="460"/>
      <c r="D40" s="36">
        <v>0</v>
      </c>
      <c r="E40" s="373">
        <f>MAX(0,MIN(МДанные!AD40,МДанные!AE40,МДанные!AF40))+D40</f>
        <v>36</v>
      </c>
      <c r="F40" s="155">
        <f>МДанные!E40*МДанные!$D$77</f>
        <v>0.30399999999999999</v>
      </c>
      <c r="G40" s="155">
        <f>МДанные!F40*МДанные!$D$77</f>
        <v>5.6999999999999993</v>
      </c>
      <c r="H40" s="156">
        <f t="shared" si="4"/>
        <v>0</v>
      </c>
      <c r="I40" s="155">
        <f t="shared" si="5"/>
        <v>0</v>
      </c>
      <c r="J40" s="156">
        <f t="shared" ref="J40:J53" si="6">I40*G40</f>
        <v>0</v>
      </c>
      <c r="K40" s="157" t="str">
        <f>МДанные!$D$135</f>
        <v>НЕТ</v>
      </c>
      <c r="L40" s="41" t="s">
        <v>99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44"/>
      <c r="X40" s="3"/>
      <c r="Y40" s="3"/>
      <c r="Z40" s="3"/>
    </row>
    <row r="41" spans="1:26" x14ac:dyDescent="0.25">
      <c r="A41" s="3"/>
      <c r="B41" s="453" t="s">
        <v>430</v>
      </c>
      <c r="C41" s="454"/>
      <c r="D41" s="36">
        <v>0</v>
      </c>
      <c r="E41" s="374">
        <f>MAX(0,MIN(МДанные!AD41,МДанные!AE41,МДанные!AF41))+D41</f>
        <v>0</v>
      </c>
      <c r="F41" s="158">
        <f>(МДанные!E41+МДанные!J41)*МДанные!$D$77</f>
        <v>0.48449999999999999</v>
      </c>
      <c r="G41" s="158">
        <f>МДанные!F41*МДанные!$D$77</f>
        <v>2.375</v>
      </c>
      <c r="H41" s="159">
        <f t="shared" si="4"/>
        <v>0</v>
      </c>
      <c r="I41" s="158">
        <f t="shared" si="5"/>
        <v>0</v>
      </c>
      <c r="J41" s="159">
        <f t="shared" si="6"/>
        <v>0</v>
      </c>
      <c r="K41" s="160">
        <f>D41</f>
        <v>0</v>
      </c>
      <c r="L41" s="41" t="s">
        <v>131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44"/>
      <c r="X41" s="3"/>
      <c r="Y41" s="3"/>
      <c r="Z41" s="3"/>
    </row>
    <row r="42" spans="1:26" x14ac:dyDescent="0.25">
      <c r="A42" s="3"/>
      <c r="B42" s="461" t="s">
        <v>431</v>
      </c>
      <c r="C42" s="462"/>
      <c r="D42" s="36">
        <v>0</v>
      </c>
      <c r="E42" s="374">
        <f>MAX(0,MIN(МДанные!AD42,МДанные!AE42,МДанные!AF42))+D42</f>
        <v>0</v>
      </c>
      <c r="F42" s="11">
        <f>(МДанные!E42+МДанные!J42)*МДанные!$D$77</f>
        <v>0.48449999999999999</v>
      </c>
      <c r="G42" s="11">
        <f>МДанные!F42*МДанные!$D$77</f>
        <v>5.6999999999999993</v>
      </c>
      <c r="H42" s="12">
        <f t="shared" si="4"/>
        <v>0</v>
      </c>
      <c r="I42" s="11">
        <f t="shared" si="5"/>
        <v>0</v>
      </c>
      <c r="J42" s="12">
        <f t="shared" si="6"/>
        <v>0</v>
      </c>
      <c r="K42" s="13">
        <f>D42</f>
        <v>0</v>
      </c>
      <c r="L42" s="41" t="s">
        <v>99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44"/>
      <c r="X42" s="3"/>
      <c r="Y42" s="3"/>
      <c r="Z42" s="3"/>
    </row>
    <row r="43" spans="1:26" x14ac:dyDescent="0.25">
      <c r="A43" s="3"/>
      <c r="B43" s="455" t="s">
        <v>432</v>
      </c>
      <c r="C43" s="456"/>
      <c r="D43" s="36">
        <v>0</v>
      </c>
      <c r="E43" s="373">
        <f>MAX(0,MIN(МДанные!AD43,МДанные!AE43,МДанные!AF43))+D43</f>
        <v>82</v>
      </c>
      <c r="F43" s="155">
        <f>МДанные!E43*МДанные!$D$77</f>
        <v>0.30399999999999999</v>
      </c>
      <c r="G43" s="155">
        <f>МДанные!F43*МДанные!$D$77</f>
        <v>2.375</v>
      </c>
      <c r="H43" s="156">
        <f t="shared" si="4"/>
        <v>0</v>
      </c>
      <c r="I43" s="155">
        <f t="shared" si="5"/>
        <v>0</v>
      </c>
      <c r="J43" s="156">
        <f t="shared" si="6"/>
        <v>0</v>
      </c>
      <c r="K43" s="157" t="str">
        <f>МДанные!$D$135</f>
        <v>НЕТ</v>
      </c>
      <c r="L43" s="41" t="s">
        <v>131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44"/>
      <c r="X43" s="3"/>
      <c r="Y43" s="3"/>
      <c r="Z43" s="3"/>
    </row>
    <row r="44" spans="1:26" x14ac:dyDescent="0.25">
      <c r="A44" s="3"/>
      <c r="B44" s="455" t="s">
        <v>433</v>
      </c>
      <c r="C44" s="456"/>
      <c r="D44" s="36">
        <v>0</v>
      </c>
      <c r="E44" s="373">
        <f>MAX(0,MIN(МДанные!AD44,МДанные!AE44,МДанные!AF44))+D44</f>
        <v>36</v>
      </c>
      <c r="F44" s="155">
        <f>МДанные!E44*МДанные!$D$77</f>
        <v>0.30399999999999999</v>
      </c>
      <c r="G44" s="155">
        <f>МДанные!F44*МДанные!$D$77</f>
        <v>5.6999999999999993</v>
      </c>
      <c r="H44" s="156">
        <f t="shared" si="4"/>
        <v>0</v>
      </c>
      <c r="I44" s="155">
        <f t="shared" si="5"/>
        <v>0</v>
      </c>
      <c r="J44" s="156">
        <f t="shared" si="6"/>
        <v>0</v>
      </c>
      <c r="K44" s="157" t="str">
        <f>МДанные!$D$135</f>
        <v>НЕТ</v>
      </c>
      <c r="L44" s="41" t="s">
        <v>99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44"/>
      <c r="X44" s="3"/>
      <c r="Y44" s="3"/>
      <c r="Z44" s="3"/>
    </row>
    <row r="45" spans="1:26" x14ac:dyDescent="0.25">
      <c r="A45" s="3"/>
      <c r="B45" s="453" t="s">
        <v>434</v>
      </c>
      <c r="C45" s="454"/>
      <c r="D45" s="36">
        <v>0</v>
      </c>
      <c r="E45" s="374">
        <f>MAX(0,MIN(МДанные!AD45,МДанные!AE45,МДанные!AF45))+D45</f>
        <v>0</v>
      </c>
      <c r="F45" s="158">
        <f>(МДанные!E45+МДанные!J45)*МДанные!$D$77</f>
        <v>0.48449999999999999</v>
      </c>
      <c r="G45" s="158">
        <f>МДанные!F45*МДанные!$D$77</f>
        <v>2.375</v>
      </c>
      <c r="H45" s="159">
        <f t="shared" si="4"/>
        <v>0</v>
      </c>
      <c r="I45" s="158">
        <f t="shared" si="5"/>
        <v>0</v>
      </c>
      <c r="J45" s="159">
        <f t="shared" si="6"/>
        <v>0</v>
      </c>
      <c r="K45" s="160">
        <f>D45</f>
        <v>0</v>
      </c>
      <c r="L45" s="41" t="s">
        <v>131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44"/>
      <c r="X45" s="3"/>
      <c r="Y45" s="3"/>
      <c r="Z45" s="3"/>
    </row>
    <row r="46" spans="1:26" x14ac:dyDescent="0.25">
      <c r="A46" s="3"/>
      <c r="B46" s="453" t="s">
        <v>435</v>
      </c>
      <c r="C46" s="454"/>
      <c r="D46" s="36">
        <v>0</v>
      </c>
      <c r="E46" s="374">
        <f>MAX(0,MIN(МДанные!AD46,МДанные!AE46,МДанные!AF46))+D46</f>
        <v>0</v>
      </c>
      <c r="F46" s="158">
        <f>(МДанные!E46+МДанные!J46)*МДанные!$D$77</f>
        <v>0.48449999999999999</v>
      </c>
      <c r="G46" s="158">
        <f>МДанные!F46*МДанные!$D$77</f>
        <v>5.6999999999999993</v>
      </c>
      <c r="H46" s="159">
        <f t="shared" si="4"/>
        <v>0</v>
      </c>
      <c r="I46" s="158">
        <f t="shared" si="5"/>
        <v>0</v>
      </c>
      <c r="J46" s="159">
        <f t="shared" si="6"/>
        <v>0</v>
      </c>
      <c r="K46" s="160">
        <f>D46</f>
        <v>0</v>
      </c>
      <c r="L46" s="41" t="s">
        <v>99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44"/>
      <c r="X46" s="3"/>
      <c r="Y46" s="3"/>
      <c r="Z46" s="3"/>
    </row>
    <row r="47" spans="1:26" x14ac:dyDescent="0.25">
      <c r="A47" s="3"/>
      <c r="B47" s="455" t="s">
        <v>436</v>
      </c>
      <c r="C47" s="456"/>
      <c r="D47" s="36">
        <v>0</v>
      </c>
      <c r="E47" s="373">
        <f>MAX(0,MIN(МДанные!AD47,МДанные!AE47,МДанные!AF47))+D47</f>
        <v>38</v>
      </c>
      <c r="F47" s="155">
        <f>МДанные!E47*МДанные!$D$77</f>
        <v>0.30399999999999999</v>
      </c>
      <c r="G47" s="155">
        <f>МДанные!F47*МДанные!$D$77</f>
        <v>5.51</v>
      </c>
      <c r="H47" s="156">
        <f t="shared" si="4"/>
        <v>0</v>
      </c>
      <c r="I47" s="155">
        <f t="shared" si="5"/>
        <v>0</v>
      </c>
      <c r="J47" s="156">
        <f t="shared" si="6"/>
        <v>0</v>
      </c>
      <c r="K47" s="157" t="str">
        <f>МДанные!$D$135</f>
        <v>НЕТ</v>
      </c>
      <c r="L47" s="41" t="s">
        <v>131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44"/>
      <c r="X47" s="3"/>
      <c r="Y47" s="3"/>
      <c r="Z47" s="3"/>
    </row>
    <row r="48" spans="1:26" x14ac:dyDescent="0.25">
      <c r="A48" s="3"/>
      <c r="B48" s="455" t="s">
        <v>437</v>
      </c>
      <c r="C48" s="456"/>
      <c r="D48" s="36">
        <v>0</v>
      </c>
      <c r="E48" s="373">
        <f>MAX(0,MIN(МДанные!AD48,МДанные!AE48,МДанные!AF48))+D48</f>
        <v>24</v>
      </c>
      <c r="F48" s="155">
        <f>МДанные!E48*МДанные!$D$77</f>
        <v>0.30399999999999999</v>
      </c>
      <c r="G48" s="155">
        <f>МДанные!F48*МДанные!$D$77</f>
        <v>8.8350000000000009</v>
      </c>
      <c r="H48" s="156">
        <f t="shared" si="4"/>
        <v>0</v>
      </c>
      <c r="I48" s="155">
        <f t="shared" si="5"/>
        <v>0</v>
      </c>
      <c r="J48" s="156">
        <f t="shared" si="6"/>
        <v>0</v>
      </c>
      <c r="K48" s="157" t="str">
        <f>МДанные!$D$135</f>
        <v>НЕТ</v>
      </c>
      <c r="L48" s="41" t="s">
        <v>99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44"/>
      <c r="X48" s="3"/>
      <c r="Y48" s="3"/>
      <c r="Z48" s="3"/>
    </row>
    <row r="49" spans="1:26" x14ac:dyDescent="0.25">
      <c r="A49" s="3"/>
      <c r="B49" s="453" t="s">
        <v>438</v>
      </c>
      <c r="C49" s="454"/>
      <c r="D49" s="36">
        <v>0</v>
      </c>
      <c r="E49" s="374">
        <f>MAX(0,MIN(МДанные!AD49,МДанные!AE49,МДанные!AF49))+D49</f>
        <v>0</v>
      </c>
      <c r="F49" s="158">
        <f>(МДанные!E49+МДанные!J49)*МДанные!$D$77</f>
        <v>0.48449999999999999</v>
      </c>
      <c r="G49" s="158">
        <f>МДанные!F49*МДанные!$D$77</f>
        <v>5.51</v>
      </c>
      <c r="H49" s="159">
        <f t="shared" si="4"/>
        <v>0</v>
      </c>
      <c r="I49" s="158">
        <f t="shared" si="5"/>
        <v>0</v>
      </c>
      <c r="J49" s="159">
        <f t="shared" si="6"/>
        <v>0</v>
      </c>
      <c r="K49" s="160">
        <f>D49</f>
        <v>0</v>
      </c>
      <c r="L49" s="41" t="s">
        <v>131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44"/>
      <c r="X49" s="3"/>
      <c r="Y49" s="3"/>
      <c r="Z49" s="3"/>
    </row>
    <row r="50" spans="1:26" x14ac:dyDescent="0.25">
      <c r="A50" s="3"/>
      <c r="B50" s="453" t="s">
        <v>439</v>
      </c>
      <c r="C50" s="454"/>
      <c r="D50" s="36">
        <v>0</v>
      </c>
      <c r="E50" s="374">
        <f>MAX(0,MIN(МДанные!AD50,МДанные!AE50,МДанные!AF50))+D50</f>
        <v>0</v>
      </c>
      <c r="F50" s="158">
        <f>(МДанные!E50+МДанные!J50)*МДанные!$D$77</f>
        <v>0.48449999999999999</v>
      </c>
      <c r="G50" s="158">
        <f>МДанные!F50*МДанные!$D$77</f>
        <v>8.8350000000000009</v>
      </c>
      <c r="H50" s="159">
        <f t="shared" si="4"/>
        <v>0</v>
      </c>
      <c r="I50" s="158">
        <f t="shared" si="5"/>
        <v>0</v>
      </c>
      <c r="J50" s="159">
        <f t="shared" si="6"/>
        <v>0</v>
      </c>
      <c r="K50" s="160">
        <f>D50</f>
        <v>0</v>
      </c>
      <c r="L50" s="41" t="s">
        <v>99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44"/>
      <c r="X50" s="3"/>
      <c r="Y50" s="3"/>
      <c r="Z50" s="3"/>
    </row>
    <row r="51" spans="1:26" x14ac:dyDescent="0.25">
      <c r="A51" s="3"/>
      <c r="B51" s="455" t="s">
        <v>440</v>
      </c>
      <c r="C51" s="456"/>
      <c r="D51" s="36">
        <v>0</v>
      </c>
      <c r="E51" s="373">
        <f>MAX(0,MIN(МДанные!AD51,МДанные!AE51,МДанные!AF51))+D51</f>
        <v>38</v>
      </c>
      <c r="F51" s="155">
        <f>МДанные!E51*МДанные!$D$77</f>
        <v>0.30399999999999999</v>
      </c>
      <c r="G51" s="155">
        <f>МДанные!F51*МДанные!$D$77</f>
        <v>5.51</v>
      </c>
      <c r="H51" s="156">
        <f t="shared" si="4"/>
        <v>0</v>
      </c>
      <c r="I51" s="155">
        <f t="shared" si="5"/>
        <v>0</v>
      </c>
      <c r="J51" s="156">
        <f t="shared" si="6"/>
        <v>0</v>
      </c>
      <c r="K51" s="157" t="str">
        <f>МДанные!$D$135</f>
        <v>НЕТ</v>
      </c>
      <c r="L51" s="41" t="s">
        <v>131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44"/>
      <c r="X51" s="3"/>
      <c r="Y51" s="3"/>
      <c r="Z51" s="3"/>
    </row>
    <row r="52" spans="1:26" x14ac:dyDescent="0.25">
      <c r="A52" s="3"/>
      <c r="B52" s="455" t="s">
        <v>441</v>
      </c>
      <c r="C52" s="456"/>
      <c r="D52" s="36">
        <v>0</v>
      </c>
      <c r="E52" s="373">
        <f>MAX(0,MIN(МДанные!AD52,МДанные!AE52,МДанные!AF52))+D52</f>
        <v>24</v>
      </c>
      <c r="F52" s="155">
        <f>МДанные!E52*МДанные!$D$77</f>
        <v>0.30399999999999999</v>
      </c>
      <c r="G52" s="155">
        <f>МДанные!F52*МДанные!$D$77</f>
        <v>8.8350000000000009</v>
      </c>
      <c r="H52" s="156">
        <f t="shared" si="4"/>
        <v>0</v>
      </c>
      <c r="I52" s="155">
        <f t="shared" si="5"/>
        <v>0</v>
      </c>
      <c r="J52" s="156">
        <f t="shared" si="6"/>
        <v>0</v>
      </c>
      <c r="K52" s="157" t="str">
        <f>МДанные!$D$135</f>
        <v>НЕТ</v>
      </c>
      <c r="L52" s="41" t="s">
        <v>99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44"/>
      <c r="X52" s="3"/>
      <c r="Y52" s="3"/>
      <c r="Z52" s="3"/>
    </row>
    <row r="53" spans="1:26" x14ac:dyDescent="0.25">
      <c r="A53" s="3"/>
      <c r="B53" s="457" t="s">
        <v>442</v>
      </c>
      <c r="C53" s="458"/>
      <c r="D53" s="36">
        <v>0</v>
      </c>
      <c r="E53" s="374">
        <f>MAX(0,MIN(МДанные!AD53,МДанные!AE53,МДанные!AF53))+D53</f>
        <v>0</v>
      </c>
      <c r="F53" s="158">
        <f>(МДанные!E53+МДанные!J53)*МДанные!$D$77</f>
        <v>0.48449999999999999</v>
      </c>
      <c r="G53" s="158">
        <f>МДанные!F53*МДанные!$D$77</f>
        <v>5.51</v>
      </c>
      <c r="H53" s="159">
        <f t="shared" si="4"/>
        <v>0</v>
      </c>
      <c r="I53" s="158">
        <f t="shared" si="5"/>
        <v>0</v>
      </c>
      <c r="J53" s="159">
        <f t="shared" si="6"/>
        <v>0</v>
      </c>
      <c r="K53" s="160">
        <f>D53</f>
        <v>0</v>
      </c>
      <c r="L53" s="41" t="s">
        <v>131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44"/>
      <c r="X53" s="3"/>
      <c r="Y53" s="3"/>
      <c r="Z53" s="3"/>
    </row>
    <row r="54" spans="1:26" x14ac:dyDescent="0.25">
      <c r="A54" s="3"/>
      <c r="B54" s="457" t="s">
        <v>443</v>
      </c>
      <c r="C54" s="458"/>
      <c r="D54" s="36">
        <v>0</v>
      </c>
      <c r="E54" s="374">
        <f>MAX(0,MIN(МДанные!AD54,МДанные!AE54,МДанные!AF54))+D54</f>
        <v>0</v>
      </c>
      <c r="F54" s="158">
        <f>(МДанные!E54+МДанные!J54)*МДанные!$D$77</f>
        <v>0.48449999999999999</v>
      </c>
      <c r="G54" s="158">
        <f>МДанные!F54*МДанные!$D$77</f>
        <v>8.8350000000000009</v>
      </c>
      <c r="H54" s="159">
        <f t="shared" si="4"/>
        <v>0</v>
      </c>
      <c r="I54" s="158">
        <f t="shared" si="5"/>
        <v>0</v>
      </c>
      <c r="J54" s="159">
        <f>I54*G54</f>
        <v>0</v>
      </c>
      <c r="K54" s="161">
        <f>D54</f>
        <v>0</v>
      </c>
      <c r="L54" s="134" t="s">
        <v>99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44"/>
      <c r="X54" s="3"/>
      <c r="Y54" s="3"/>
      <c r="Z54" s="3"/>
    </row>
    <row r="55" spans="1:26" x14ac:dyDescent="0.25">
      <c r="A55" s="3"/>
      <c r="B55" s="477" t="s">
        <v>32</v>
      </c>
      <c r="C55" s="478"/>
      <c r="D55" s="37">
        <v>0</v>
      </c>
      <c r="E55" s="373">
        <f>MAX(0,MIN(МДанные!AD55,МДанные!AE55,МДанные!AF55))+D55</f>
        <v>71</v>
      </c>
      <c r="F55" s="8">
        <f>МДанные!E55*МДанные!$D$77</f>
        <v>0.29449999999999998</v>
      </c>
      <c r="G55" s="8">
        <f>МДанные!F55*МДанные!$D$77</f>
        <v>2.8214999999999999</v>
      </c>
      <c r="H55" s="9">
        <f t="shared" si="4"/>
        <v>0</v>
      </c>
      <c r="I55" s="8">
        <f t="shared" si="5"/>
        <v>0</v>
      </c>
      <c r="J55" s="9">
        <f t="shared" ref="J55" si="7">I55*G55</f>
        <v>0</v>
      </c>
      <c r="K55" s="135" t="str">
        <f>МДанные!$D$135</f>
        <v>НЕТ</v>
      </c>
      <c r="L55" s="377"/>
      <c r="M55" s="1"/>
      <c r="N55" s="1"/>
      <c r="O55" s="1"/>
      <c r="P55" s="1"/>
      <c r="Q55" s="1"/>
      <c r="R55" s="1"/>
      <c r="S55" s="1"/>
      <c r="T55" s="1"/>
      <c r="U55" s="1"/>
      <c r="V55" s="1"/>
      <c r="W55" s="44"/>
      <c r="X55" s="3"/>
      <c r="Y55" s="3"/>
      <c r="Z55" s="3"/>
    </row>
    <row r="56" spans="1:26" ht="15.75" x14ac:dyDescent="0.25">
      <c r="A56" s="3"/>
      <c r="B56" s="470" t="s">
        <v>33</v>
      </c>
      <c r="C56" s="479"/>
      <c r="D56" s="479"/>
      <c r="E56" s="479"/>
      <c r="F56" s="479"/>
      <c r="G56" s="479"/>
      <c r="H56" s="479"/>
      <c r="I56" s="479"/>
      <c r="J56" s="20"/>
      <c r="K56" s="383"/>
      <c r="L56" s="19"/>
      <c r="M56" s="1"/>
      <c r="N56" s="1"/>
      <c r="O56" s="1"/>
      <c r="P56" s="1"/>
      <c r="Q56" s="1"/>
      <c r="R56" s="1"/>
      <c r="S56" s="1"/>
      <c r="T56" s="1"/>
      <c r="U56" s="1"/>
      <c r="V56" s="1"/>
      <c r="W56" s="44"/>
      <c r="X56" s="3"/>
      <c r="Y56" s="3"/>
      <c r="Z56" s="3"/>
    </row>
    <row r="57" spans="1:26" x14ac:dyDescent="0.25">
      <c r="A57" s="3"/>
      <c r="B57" s="461" t="s">
        <v>34</v>
      </c>
      <c r="C57" s="462"/>
      <c r="D57" s="36">
        <v>0</v>
      </c>
      <c r="E57" s="374">
        <f>MAX(0,MIN(МДанные!AD57,МДанные!AE57,МДанные!AF57))+D57</f>
        <v>0</v>
      </c>
      <c r="F57" s="11">
        <f>(МДанные!E57+МДанные!G57)*МДанные!$D$77</f>
        <v>9.5000000000000001E-2</v>
      </c>
      <c r="G57" s="11">
        <f>МДанные!F57*МДанные!$D$77</f>
        <v>1.9</v>
      </c>
      <c r="H57" s="12">
        <f>IF(D57&gt;SUM(D8:D17),SUM(D8:D17)*F57,D57*F57)</f>
        <v>0</v>
      </c>
      <c r="I57" s="11">
        <f>IF(D57&gt;SUM(I8:I17),SUM(I8:I17),D57)</f>
        <v>0</v>
      </c>
      <c r="J57" s="12">
        <f t="shared" ref="J57:J58" si="8">I57*G57</f>
        <v>0</v>
      </c>
      <c r="K57" s="21"/>
      <c r="L57" s="22"/>
      <c r="M57" s="1"/>
      <c r="N57" s="1"/>
      <c r="O57" s="1"/>
      <c r="P57" s="1"/>
      <c r="Q57" s="1"/>
      <c r="R57" s="1"/>
      <c r="S57" s="1"/>
      <c r="T57" s="1"/>
      <c r="U57" s="1"/>
      <c r="V57" s="1"/>
      <c r="W57" s="44"/>
      <c r="X57" s="3"/>
      <c r="Y57" s="3"/>
      <c r="Z57" s="3"/>
    </row>
    <row r="58" spans="1:26" x14ac:dyDescent="0.25">
      <c r="A58" s="3"/>
      <c r="B58" s="463" t="s">
        <v>84</v>
      </c>
      <c r="C58" s="464"/>
      <c r="D58" s="36">
        <v>0</v>
      </c>
      <c r="E58" s="373">
        <f>MAX(0,MIN(МДанные!AD58,МДанные!AE58,МДанные!AF58))+D58</f>
        <v>0</v>
      </c>
      <c r="F58" s="8">
        <f>МДанные!E61*МДанные!$D$77</f>
        <v>9.5000000000000001E-2</v>
      </c>
      <c r="G58" s="8">
        <f>МДанные!F61*МДанные!$D$77</f>
        <v>10.26</v>
      </c>
      <c r="H58" s="9">
        <f>IF(D58&gt;D18,D18*F58,D58*F58)</f>
        <v>0</v>
      </c>
      <c r="I58" s="8">
        <f>IF(D58&gt;I18,I18,D58)</f>
        <v>0</v>
      </c>
      <c r="J58" s="9">
        <f t="shared" si="8"/>
        <v>0</v>
      </c>
      <c r="K58" s="21"/>
      <c r="L58" s="22"/>
      <c r="M58" s="1"/>
      <c r="N58" s="1"/>
      <c r="O58" s="1"/>
      <c r="P58" s="1"/>
      <c r="Q58" s="1"/>
      <c r="R58" s="1"/>
      <c r="S58" s="1"/>
      <c r="T58" s="1"/>
      <c r="U58" s="1"/>
      <c r="V58" s="1"/>
      <c r="W58" s="44"/>
      <c r="X58" s="3"/>
      <c r="Y58" s="3"/>
      <c r="Z58" s="3"/>
    </row>
    <row r="59" spans="1:26" x14ac:dyDescent="0.25">
      <c r="A59" s="3"/>
      <c r="B59" s="480" t="s">
        <v>35</v>
      </c>
      <c r="C59" s="481"/>
      <c r="D59" s="36">
        <v>0</v>
      </c>
      <c r="E59" s="374">
        <f>MAX(0,MIN(МДанные!AD59,МДанные!AE59,МДанные!AF59))+D59</f>
        <v>18</v>
      </c>
      <c r="F59" s="11">
        <f>(МДанные!E65+МДанные!G65)*МДанные!$D$77</f>
        <v>7.1724999999999994</v>
      </c>
      <c r="G59" s="11">
        <f>МДанные!F65*МДанные!$D$77</f>
        <v>0</v>
      </c>
      <c r="H59" s="12">
        <f>D59*F59</f>
        <v>0</v>
      </c>
      <c r="I59" s="375">
        <v>0</v>
      </c>
      <c r="J59" s="12">
        <v>0</v>
      </c>
      <c r="K59" s="21"/>
      <c r="L59" s="22"/>
      <c r="M59" s="1"/>
      <c r="N59" s="1"/>
      <c r="O59" s="1"/>
      <c r="P59" s="1"/>
      <c r="Q59" s="1"/>
      <c r="R59" s="1"/>
      <c r="S59" s="1"/>
      <c r="T59" s="1"/>
      <c r="U59" s="1"/>
      <c r="V59" s="1"/>
      <c r="W59" s="44"/>
      <c r="X59" s="3"/>
      <c r="Y59" s="3"/>
      <c r="Z59" s="3"/>
    </row>
    <row r="60" spans="1:26" x14ac:dyDescent="0.25">
      <c r="A60" s="3"/>
      <c r="B60" s="476" t="s">
        <v>36</v>
      </c>
      <c r="C60" s="476"/>
      <c r="D60" s="8">
        <f>D59</f>
        <v>0</v>
      </c>
      <c r="E60" s="373">
        <f>MAX(0,MIN(МДанные!AD60,МДанные!AE60,МДанные!AF60))+D60</f>
        <v>18</v>
      </c>
      <c r="F60" s="8">
        <f>МДанные!E66*МДанные!$D$77</f>
        <v>1.4249999999999998</v>
      </c>
      <c r="G60" s="8">
        <f>МДанные!F66*МДанные!$D$77</f>
        <v>0</v>
      </c>
      <c r="H60" s="9">
        <f>D60*F60</f>
        <v>0</v>
      </c>
      <c r="I60" s="8">
        <v>0</v>
      </c>
      <c r="J60" s="9">
        <v>0</v>
      </c>
      <c r="K60" s="23"/>
      <c r="L60" s="24"/>
      <c r="M60" s="1"/>
      <c r="N60" s="1"/>
      <c r="O60" s="1"/>
      <c r="P60" s="1"/>
      <c r="Q60" s="1"/>
      <c r="R60" s="1"/>
      <c r="S60" s="1"/>
      <c r="T60" s="1"/>
      <c r="U60" s="1"/>
      <c r="V60" s="1"/>
      <c r="W60" s="44"/>
      <c r="X60" s="3"/>
      <c r="Y60" s="3"/>
      <c r="Z60" s="3"/>
    </row>
    <row r="61" spans="1:26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5">
      <c r="A62" s="3"/>
      <c r="B62" s="33"/>
      <c r="C62" s="33" t="s">
        <v>771</v>
      </c>
      <c r="D62" s="33"/>
      <c r="E62" s="33"/>
      <c r="F62" s="33"/>
      <c r="G62" s="33"/>
      <c r="H62" s="33" t="s">
        <v>173</v>
      </c>
      <c r="I62" s="33"/>
      <c r="J62" s="33"/>
      <c r="K62" s="3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3"/>
      <c r="B63" s="33"/>
      <c r="C63" s="74" t="s">
        <v>163</v>
      </c>
      <c r="D63" s="42">
        <v>0.87</v>
      </c>
      <c r="E63" s="33"/>
      <c r="F63" s="33"/>
      <c r="G63" s="33"/>
      <c r="H63" s="465" t="str">
        <f>МДанные!E147</f>
        <v>Расчет верен</v>
      </c>
      <c r="I63" s="465"/>
      <c r="J63" s="465"/>
      <c r="K63" s="3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A64" s="3"/>
      <c r="B64" s="33"/>
      <c r="C64" s="73" t="s">
        <v>164</v>
      </c>
      <c r="D64" s="42">
        <v>50</v>
      </c>
      <c r="E64" s="33"/>
      <c r="F64" s="33"/>
      <c r="G64" s="33"/>
      <c r="H64" s="465" t="str">
        <f>МДанные!E148</f>
        <v>Превышен максимальный ток шлейфа</v>
      </c>
      <c r="I64" s="465"/>
      <c r="J64" s="465"/>
      <c r="K64" s="3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5">
      <c r="A65" s="3"/>
      <c r="B65" s="33"/>
      <c r="C65" s="1"/>
      <c r="D65" s="1"/>
      <c r="F65" s="33"/>
      <c r="G65" s="33"/>
      <c r="H65" s="465" t="str">
        <f>МДанные!E149</f>
        <v>Превышено максимальное количество извещателей</v>
      </c>
      <c r="I65" s="465"/>
      <c r="J65" s="465"/>
      <c r="K65" s="3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3"/>
      <c r="B66" s="33"/>
      <c r="C66" s="33" t="s">
        <v>772</v>
      </c>
      <c r="D66" s="33"/>
      <c r="E66" s="33"/>
      <c r="F66" s="33"/>
      <c r="G66" s="33"/>
      <c r="H66" s="465" t="str">
        <f>МДанные!E151</f>
        <v>Превышено максимальное количество модулей</v>
      </c>
      <c r="I66" s="465"/>
      <c r="J66" s="465"/>
      <c r="K66" s="3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5">
      <c r="A67" s="3"/>
      <c r="B67" s="33"/>
      <c r="C67" s="77" t="s">
        <v>170</v>
      </c>
      <c r="D67" s="78">
        <f>SUM(H8:H22,H24:H37,H39:H55,H57:H60)</f>
        <v>0</v>
      </c>
      <c r="E67" s="33"/>
      <c r="F67" s="33"/>
      <c r="G67" s="33"/>
      <c r="H67" s="465" t="str">
        <f>МДанные!E153</f>
        <v>Превышено количество изоляторов</v>
      </c>
      <c r="I67" s="465"/>
      <c r="J67" s="465"/>
      <c r="K67" s="3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3"/>
      <c r="B68" s="33"/>
      <c r="C68" s="75" t="s">
        <v>171</v>
      </c>
      <c r="D68" s="76">
        <f>D67+SUM(J8:J22,J24:J37,J39:J55,J57:J60)+D100</f>
        <v>0</v>
      </c>
      <c r="E68" s="79" t="str">
        <f>IF(МДанные!D148,"&gt;"&amp;D69," ")</f>
        <v xml:space="preserve"> </v>
      </c>
      <c r="F68" s="33"/>
      <c r="G68" s="33"/>
      <c r="H68" s="465" t="str">
        <f>МДанные!E155</f>
        <v>Ошибка расчета искробезопасных извещателей</v>
      </c>
      <c r="I68" s="465"/>
      <c r="J68" s="465"/>
      <c r="K68" s="3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5">
      <c r="A69" s="3"/>
      <c r="B69" s="33"/>
      <c r="C69" s="77" t="s">
        <v>172</v>
      </c>
      <c r="D69" s="380">
        <f>INT(МДанные!D127/D64*D63)</f>
        <v>222</v>
      </c>
      <c r="E69" s="33"/>
      <c r="F69" s="33"/>
      <c r="G69" s="33"/>
      <c r="H69" s="465" t="str">
        <f>МДанные!E158</f>
        <v>Изоляторов больше, чем устройств данного типа</v>
      </c>
      <c r="I69" s="465"/>
      <c r="J69" s="465"/>
      <c r="K69" s="3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5">
      <c r="A70" s="3"/>
      <c r="B70" s="33"/>
      <c r="C70" s="75" t="s">
        <v>867</v>
      </c>
      <c r="D70" s="368">
        <f>D69-D68</f>
        <v>222</v>
      </c>
      <c r="E70" s="33"/>
      <c r="F70" s="33"/>
      <c r="G70" s="33"/>
      <c r="H70" s="465" t="str">
        <f>МДанные!E159</f>
        <v>Указано больше ВУОСов, чем извещателей</v>
      </c>
      <c r="I70" s="465"/>
      <c r="J70" s="465"/>
      <c r="K70" s="3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5">
      <c r="A71" s="3"/>
      <c r="B71" s="33"/>
      <c r="C71" s="1"/>
      <c r="D71" s="1"/>
      <c r="E71" s="1"/>
      <c r="F71" s="1"/>
      <c r="G71" s="33"/>
      <c r="H71" s="465" t="str">
        <f>МДанные!E160</f>
        <v>Указано больше пультов, чем 6500(S)</v>
      </c>
      <c r="I71" s="465"/>
      <c r="J71" s="465"/>
      <c r="K71" s="3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5">
      <c r="A72" s="3"/>
      <c r="B72" s="33"/>
      <c r="C72" s="33" t="s">
        <v>773</v>
      </c>
      <c r="D72" s="33"/>
      <c r="E72" s="33"/>
      <c r="F72" s="33"/>
      <c r="G72" s="3"/>
      <c r="H72" s="474" t="str">
        <f>МДанные!E161</f>
        <v>Модуль не добавлен в расчет шкафа</v>
      </c>
      <c r="I72" s="474"/>
      <c r="J72" s="474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5">
      <c r="A73" s="3"/>
      <c r="B73" s="33"/>
      <c r="C73" s="77" t="s">
        <v>396</v>
      </c>
      <c r="D73" s="80">
        <f>МДанные!E68</f>
        <v>86</v>
      </c>
      <c r="E73" s="33"/>
      <c r="F73" s="3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5">
      <c r="A74" s="3"/>
      <c r="B74" s="33"/>
      <c r="C74" s="75" t="s">
        <v>397</v>
      </c>
      <c r="D74" s="76">
        <f>D67/МДанные!D77+D73</f>
        <v>86</v>
      </c>
      <c r="E74" s="33"/>
      <c r="F74" s="3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3"/>
      <c r="B75" s="33"/>
      <c r="C75" s="77" t="s">
        <v>398</v>
      </c>
      <c r="D75" s="81">
        <f>D68/МДанные!D77+D73</f>
        <v>86</v>
      </c>
      <c r="E75" s="33"/>
      <c r="F75" s="3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5">
      <c r="A76" s="3"/>
      <c r="B76" s="33"/>
      <c r="C76" s="75" t="str">
        <f>"Ёмкость АКБ, необходимая для выполнения правила "&amp;МДанные!D103&amp;"+"&amp;МДанные!D104&amp;", Ач"</f>
        <v>Ёмкость АКБ, необходимая для выполнения правила 24+3, Ач</v>
      </c>
      <c r="D76" s="82">
        <f>(D74*МДанные!D103+D75*МДанные!D104)*МДанные!D102/1000</f>
        <v>2.9024999999999999</v>
      </c>
      <c r="E76" s="33"/>
      <c r="F76" s="3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5">
      <c r="A77" s="3"/>
      <c r="B77" s="33"/>
      <c r="C77" s="33"/>
      <c r="D77" s="33"/>
      <c r="E77" s="33"/>
      <c r="F77" s="3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5">
      <c r="A78" s="3"/>
      <c r="B78" s="33"/>
      <c r="C78" s="33" t="s">
        <v>774</v>
      </c>
      <c r="D78" s="33"/>
      <c r="E78" s="33"/>
      <c r="F78" s="3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39" x14ac:dyDescent="0.25">
      <c r="A79" s="3"/>
      <c r="B79" s="33"/>
      <c r="C79" s="377" t="s">
        <v>232</v>
      </c>
      <c r="D79" s="378" t="s">
        <v>179</v>
      </c>
      <c r="E79" s="379" t="s">
        <v>178</v>
      </c>
      <c r="F79" s="3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5">
      <c r="A80" s="3"/>
      <c r="B80" s="33"/>
      <c r="C80" s="376">
        <v>0.75</v>
      </c>
      <c r="D80" s="86">
        <f>MIN(МДанные!D$108+МДанные!D$109*МДанные!D$110,(МДанные!D$117/E80*(1-МДанные!D$116/100))*1000)</f>
        <v>6000</v>
      </c>
      <c r="E80" s="370">
        <f>МДанные!D$114*МДанные!D$115/C80</f>
        <v>48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5">
      <c r="A81" s="3"/>
      <c r="B81" s="33"/>
      <c r="C81" s="87">
        <v>1</v>
      </c>
      <c r="D81" s="84">
        <f>MIN(МДанные!D$108+МДанные!D$109*МДанные!D$110,(МДанные!D$117/E81*(1-МДанные!D$116/100))*1000)</f>
        <v>6000</v>
      </c>
      <c r="E81" s="83">
        <f>МДанные!D$114*МДанные!D$115/C81</f>
        <v>36</v>
      </c>
      <c r="F81" s="3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3"/>
      <c r="B82" s="33"/>
      <c r="C82" s="85">
        <v>1.5</v>
      </c>
      <c r="D82" s="86">
        <f>MIN(МДанные!D$108+МДанные!D$109*МДанные!D$110,(МДанные!D$117/E82*(1-МДанные!D$116/100))*1000)</f>
        <v>6000</v>
      </c>
      <c r="E82" s="85">
        <f>МДанные!D$114*МДанные!D$115/C82</f>
        <v>24</v>
      </c>
      <c r="F82" s="3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5">
      <c r="A83" s="3"/>
      <c r="B83" s="33"/>
      <c r="C83" s="87">
        <v>2</v>
      </c>
      <c r="D83" s="84">
        <f>MIN(МДанные!D$108+МДанные!D$109*МДанные!D$110,(МДанные!D$117/E83*(1-МДанные!D$116/100))*1000)</f>
        <v>6000</v>
      </c>
      <c r="E83" s="83">
        <f>МДанные!D$114*МДанные!D$115/C83</f>
        <v>18</v>
      </c>
      <c r="F83" s="3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5">
      <c r="A84" s="3"/>
      <c r="B84" s="33"/>
      <c r="C84" s="85">
        <v>2.5</v>
      </c>
      <c r="D84" s="86">
        <f>MIN(МДанные!D$108+МДанные!D$109*МДанные!D$110,(МДанные!D$117/E84*(1-МДанные!D$116/100))*1000)</f>
        <v>6000</v>
      </c>
      <c r="E84" s="85">
        <f>МДанные!D$114*МДанные!D$115/C84</f>
        <v>14.4</v>
      </c>
      <c r="F84" s="3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3"/>
      <c r="B85" s="33"/>
      <c r="C85" s="33"/>
      <c r="D85" s="33"/>
      <c r="E85" s="33"/>
      <c r="F85" s="3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5">
      <c r="A86" s="3"/>
      <c r="B86" s="33"/>
      <c r="C86" s="33" t="s">
        <v>775</v>
      </c>
      <c r="D86" s="33"/>
      <c r="E86" s="33"/>
      <c r="F86" s="3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5">
      <c r="A87" s="3"/>
      <c r="B87" s="33"/>
      <c r="C87" s="88" t="s">
        <v>174</v>
      </c>
      <c r="D87" s="89">
        <f>SUM(D8:D22,D24:D37,D39:D55)</f>
        <v>0</v>
      </c>
      <c r="E87" s="33"/>
      <c r="F87" s="3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5">
      <c r="A88" s="3"/>
      <c r="B88" s="33"/>
      <c r="C88" s="90" t="s">
        <v>175</v>
      </c>
      <c r="D88" s="91">
        <f>MIN(SUM(D8:D18),60)+D89</f>
        <v>0</v>
      </c>
      <c r="E88" s="79" t="str">
        <f>IF(МДанные!D149,"&gt;"&amp;МДанные!D138," ")</f>
        <v xml:space="preserve"> </v>
      </c>
      <c r="F88" s="3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5">
      <c r="A89" s="3"/>
      <c r="B89" s="33"/>
      <c r="C89" s="88" t="s">
        <v>281</v>
      </c>
      <c r="D89" s="92">
        <f>SUM(D19:D20,2*D21,2*D22)+MAX(SUM(D8:D18)-60,0)</f>
        <v>0</v>
      </c>
      <c r="E89" s="79" t="str">
        <f>IF(МДанные!D150,"&gt;"&amp;МДанные!D139," ")</f>
        <v xml:space="preserve"> </v>
      </c>
      <c r="F89" s="3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5">
      <c r="A90" s="3"/>
      <c r="B90" s="33"/>
      <c r="C90" s="90" t="s">
        <v>282</v>
      </c>
      <c r="D90" s="91">
        <f>MIN(SUM(D24:D32,2*D33,3*D34,D35:D36,D39:D55,5*D37),60)+D91</f>
        <v>0</v>
      </c>
      <c r="E90" s="79" t="str">
        <f>IF(МДанные!D151,"&gt;"&amp;МДанные!D138," ")</f>
        <v xml:space="preserve"> </v>
      </c>
      <c r="F90" s="3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5">
      <c r="A91" s="3"/>
      <c r="B91" s="33"/>
      <c r="C91" s="88" t="s">
        <v>283</v>
      </c>
      <c r="D91" s="92">
        <f>SUM(D20,2*D21,2*D22)+MAX(SUM(D24:D32,2*D33,3*D34,D35:D36,D39:D55,5*D37)-60,0)</f>
        <v>0</v>
      </c>
      <c r="E91" s="79" t="str">
        <f>IF(МДанные!D152,"&gt;"&amp;МДанные!D139," ")</f>
        <v xml:space="preserve"> </v>
      </c>
      <c r="F91" s="3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5">
      <c r="A92" s="3"/>
      <c r="B92" s="33"/>
      <c r="C92" s="90" t="s">
        <v>176</v>
      </c>
      <c r="D92" s="91">
        <f>SUM(МДанные!U8:U56)</f>
        <v>0</v>
      </c>
      <c r="E92" s="33"/>
      <c r="F92" s="3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5">
      <c r="A93" s="3"/>
      <c r="B93" s="33"/>
      <c r="C93" s="88" t="s">
        <v>248</v>
      </c>
      <c r="D93" s="89">
        <f>IF(D92&gt;0,D87/D92,0)</f>
        <v>0</v>
      </c>
      <c r="E93" s="93" t="str">
        <f>IF(МДанные!D154,"&lt;"&amp;Nix,IF(МДанные!D153,"&lt;"&amp;Nir," "))</f>
        <v xml:space="preserve"> </v>
      </c>
      <c r="F93" s="3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5">
      <c r="A94" s="3"/>
      <c r="B94" s="33"/>
      <c r="C94" s="90" t="s">
        <v>177</v>
      </c>
      <c r="D94" s="94">
        <f>D19</f>
        <v>0</v>
      </c>
      <c r="E94" s="33"/>
      <c r="F94" s="3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3"/>
      <c r="B95" s="33"/>
      <c r="C95" s="88" t="s">
        <v>230</v>
      </c>
      <c r="D95" s="89">
        <f>IF(AND(D59=0,D19&gt;0),"ОШИБКА",D19/MAX(1,D59))</f>
        <v>0</v>
      </c>
      <c r="E95" s="79" t="str">
        <f>IF(AND(МДанные!D157,NOT(МДанные!D155)),"&gt;"&amp;МДанные!D143,IF(МДанные!D156,"&lt;1",""))</f>
        <v/>
      </c>
      <c r="F95" s="3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5">
      <c r="A96" s="3"/>
      <c r="B96" s="33"/>
      <c r="C96" s="33"/>
      <c r="D96" s="33"/>
      <c r="E96" s="33"/>
      <c r="F96" s="3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5">
      <c r="A97" s="3"/>
      <c r="B97" s="33"/>
      <c r="C97" s="33" t="s">
        <v>776</v>
      </c>
      <c r="D97" s="34"/>
      <c r="E97" s="34"/>
      <c r="F97" s="3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5">
      <c r="A98" s="3"/>
      <c r="B98" s="33"/>
      <c r="C98" s="29" t="s">
        <v>229</v>
      </c>
      <c r="D98" s="35">
        <f>SUM(J8:J22,J24:J35,J57:J58)</f>
        <v>0</v>
      </c>
      <c r="E98" s="33"/>
      <c r="F98" s="3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5">
      <c r="A99" s="3"/>
      <c r="B99" s="3"/>
      <c r="C99" s="31" t="s">
        <v>343</v>
      </c>
      <c r="D99" s="32">
        <f>SUM(J39:J55)</f>
        <v>0</v>
      </c>
      <c r="E99" s="33"/>
      <c r="F99" s="3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5">
      <c r="A100" s="3"/>
      <c r="B100" s="3"/>
      <c r="C100" s="29" t="s">
        <v>180</v>
      </c>
      <c r="D100" s="30">
        <f>IF(МДанные!D74=МДанные!D134,MIN(2,D92)*МДанные!D128,0)</f>
        <v>0</v>
      </c>
      <c r="E100" s="33"/>
      <c r="F100" s="3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5">
      <c r="A101" s="3"/>
      <c r="B101" s="3"/>
      <c r="C101" s="31" t="s">
        <v>181</v>
      </c>
      <c r="D101" s="32">
        <f>SUMPRODUCT(МДанные!K8:K56,МДанные!U8:U56)</f>
        <v>0</v>
      </c>
      <c r="E101" s="3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7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7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7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7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7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7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7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7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7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7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7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7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7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7" x14ac:dyDescent="0.25">
      <c r="A158" s="50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49"/>
    </row>
    <row r="159" spans="1:27" x14ac:dyDescent="0.25">
      <c r="A159" s="50"/>
      <c r="B159" s="45"/>
      <c r="D159" s="49"/>
      <c r="E159" s="49"/>
      <c r="F159" s="49"/>
      <c r="G159" s="49"/>
      <c r="H159" s="49"/>
      <c r="I159" s="49"/>
      <c r="J159" s="49"/>
      <c r="K159" s="49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49"/>
    </row>
    <row r="160" spans="1:27" x14ac:dyDescent="0.25">
      <c r="A160" s="50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49"/>
    </row>
    <row r="161" spans="1:27" x14ac:dyDescent="0.25">
      <c r="A161" s="50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49"/>
    </row>
    <row r="162" spans="1:27" x14ac:dyDescent="0.25">
      <c r="A162" s="50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49"/>
    </row>
    <row r="163" spans="1:27" x14ac:dyDescent="0.25">
      <c r="A163" s="50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49"/>
    </row>
    <row r="164" spans="1:27" x14ac:dyDescent="0.25">
      <c r="A164" s="50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49"/>
    </row>
    <row r="165" spans="1:27" x14ac:dyDescent="0.25">
      <c r="A165" s="50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49"/>
    </row>
    <row r="166" spans="1:27" x14ac:dyDescent="0.25">
      <c r="A166" s="50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49"/>
    </row>
    <row r="167" spans="1:27" x14ac:dyDescent="0.25">
      <c r="A167" s="50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49"/>
    </row>
    <row r="168" spans="1:27" x14ac:dyDescent="0.25">
      <c r="A168" s="50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49"/>
    </row>
    <row r="169" spans="1:27" x14ac:dyDescent="0.25">
      <c r="A169" s="50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49"/>
    </row>
    <row r="170" spans="1:27" x14ac:dyDescent="0.25">
      <c r="A170" s="50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49"/>
    </row>
    <row r="171" spans="1:27" x14ac:dyDescent="0.25">
      <c r="A171" s="50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49"/>
    </row>
    <row r="172" spans="1:27" x14ac:dyDescent="0.25">
      <c r="A172" s="50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49"/>
    </row>
    <row r="173" spans="1:27" x14ac:dyDescent="0.25">
      <c r="A173" s="50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49"/>
    </row>
    <row r="174" spans="1:27" x14ac:dyDescent="0.25">
      <c r="A174" s="50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49"/>
    </row>
    <row r="175" spans="1:27" x14ac:dyDescent="0.25">
      <c r="A175" s="50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49"/>
    </row>
    <row r="176" spans="1:27" x14ac:dyDescent="0.25">
      <c r="A176" s="50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49"/>
    </row>
    <row r="177" spans="1:27" x14ac:dyDescent="0.25">
      <c r="A177" s="50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49"/>
    </row>
    <row r="178" spans="1:27" x14ac:dyDescent="0.25">
      <c r="A178" s="50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49"/>
    </row>
    <row r="179" spans="1:27" x14ac:dyDescent="0.25">
      <c r="A179" s="50"/>
      <c r="B179" s="50"/>
      <c r="C179" s="49"/>
      <c r="D179" s="49"/>
      <c r="E179" s="49"/>
      <c r="F179" s="49"/>
      <c r="G179" s="49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49"/>
    </row>
    <row r="180" spans="1:27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49"/>
    </row>
    <row r="181" spans="1:27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49"/>
    </row>
    <row r="182" spans="1:27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49"/>
    </row>
    <row r="183" spans="1:27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49"/>
    </row>
    <row r="184" spans="1:27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49"/>
    </row>
    <row r="185" spans="1:27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49"/>
    </row>
    <row r="186" spans="1:27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49"/>
    </row>
    <row r="187" spans="1:27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49"/>
    </row>
    <row r="188" spans="1:27" x14ac:dyDescent="0.25">
      <c r="A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</row>
  </sheetData>
  <sheetProtection password="DF98" sheet="1" objects="1" scenarios="1"/>
  <mergeCells count="68">
    <mergeCell ref="B36:C36"/>
    <mergeCell ref="H72:J72"/>
    <mergeCell ref="C2:I2"/>
    <mergeCell ref="B60:C60"/>
    <mergeCell ref="B45:C45"/>
    <mergeCell ref="B47:C47"/>
    <mergeCell ref="B49:C49"/>
    <mergeCell ref="B51:C51"/>
    <mergeCell ref="B53:C53"/>
    <mergeCell ref="B55:C55"/>
    <mergeCell ref="B56:I56"/>
    <mergeCell ref="B58:C58"/>
    <mergeCell ref="B57:C57"/>
    <mergeCell ref="B37:C37"/>
    <mergeCell ref="B59:C59"/>
    <mergeCell ref="C3:I3"/>
    <mergeCell ref="B6:C6"/>
    <mergeCell ref="B7:I7"/>
    <mergeCell ref="B8:C8"/>
    <mergeCell ref="B9:C9"/>
    <mergeCell ref="B28:C28"/>
    <mergeCell ref="B16:C16"/>
    <mergeCell ref="B17:C17"/>
    <mergeCell ref="B18:C18"/>
    <mergeCell ref="B19:C19"/>
    <mergeCell ref="B20:C20"/>
    <mergeCell ref="B21:C21"/>
    <mergeCell ref="B22:C22"/>
    <mergeCell ref="B23:I23"/>
    <mergeCell ref="B24:C24"/>
    <mergeCell ref="B25:C25"/>
    <mergeCell ref="H68:J68"/>
    <mergeCell ref="H69:J69"/>
    <mergeCell ref="H70:J70"/>
    <mergeCell ref="H71:J71"/>
    <mergeCell ref="B26:C26"/>
    <mergeCell ref="B27:C27"/>
    <mergeCell ref="B30:C30"/>
    <mergeCell ref="B31:C31"/>
    <mergeCell ref="B32:C32"/>
    <mergeCell ref="B33:C33"/>
    <mergeCell ref="B29:C29"/>
    <mergeCell ref="B35:C35"/>
    <mergeCell ref="B38:I38"/>
    <mergeCell ref="B39:C39"/>
    <mergeCell ref="B41:C41"/>
    <mergeCell ref="B34:C34"/>
    <mergeCell ref="H63:J63"/>
    <mergeCell ref="H64:J64"/>
    <mergeCell ref="H65:J65"/>
    <mergeCell ref="H66:J66"/>
    <mergeCell ref="H67:J67"/>
    <mergeCell ref="K4:L5"/>
    <mergeCell ref="B50:C50"/>
    <mergeCell ref="B52:C52"/>
    <mergeCell ref="B54:C54"/>
    <mergeCell ref="B40:C40"/>
    <mergeCell ref="B42:C42"/>
    <mergeCell ref="B44:C44"/>
    <mergeCell ref="B46:C46"/>
    <mergeCell ref="B48:C48"/>
    <mergeCell ref="B43:C43"/>
    <mergeCell ref="B15:C15"/>
    <mergeCell ref="B14:C14"/>
    <mergeCell ref="B10:C10"/>
    <mergeCell ref="B11:C11"/>
    <mergeCell ref="B12:C12"/>
    <mergeCell ref="B13:C13"/>
  </mergeCells>
  <conditionalFormatting sqref="B8:K17 B18:J18 B19:K19 B20:J22 B24:K29 B30:J36 B37:K37 B39:K55 B57:J60">
    <cfRule type="expression" dxfId="186" priority="1629">
      <formula>$D8&gt;0</formula>
    </cfRule>
  </conditionalFormatting>
  <conditionalFormatting sqref="F8:H22 J8:J22 D98:D99 D101 F39:H55 J39:J55 F24:H37 J24:J37 F57:H60 J57:J60">
    <cfRule type="expression" dxfId="185" priority="5">
      <formula>D8&gt;0</formula>
    </cfRule>
  </conditionalFormatting>
  <conditionalFormatting sqref="K37">
    <cfRule type="expression" dxfId="184" priority="18">
      <formula>$D37&gt;0</formula>
    </cfRule>
  </conditionalFormatting>
  <conditionalFormatting sqref="K18 K20:K22 K30:K36">
    <cfRule type="expression" dxfId="183" priority="2026">
      <formula>$K18&gt;0</formula>
    </cfRule>
  </conditionalFormatting>
  <conditionalFormatting sqref="K18 K20:K22 B18 B20:C22 K30:K36 B30:C36">
    <cfRule type="expression" dxfId="182" priority="1389">
      <formula>$K18&gt;$D18</formula>
    </cfRule>
  </conditionalFormatting>
  <dataValidations count="2">
    <dataValidation type="whole" allowBlank="1" showInputMessage="1" showErrorMessage="1" error="Количество изоляторов превышает количество устройств!" sqref="K30:K36 K18 K20:K22">
      <formula1>0</formula1>
      <formula2>D18</formula2>
    </dataValidation>
    <dataValidation allowBlank="1" showInputMessage="1" showErrorMessage="1" error="Введите значение из выпадающего списка!" sqref="L35:L36"/>
  </dataValidations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orelDraw.Graphic.17" shapeId="1027" r:id="rId4">
          <objectPr defaultSize="0" autoPict="0" r:id="rId5">
            <anchor moveWithCells="1">
              <from>
                <xdr:col>1</xdr:col>
                <xdr:colOff>0</xdr:colOff>
                <xdr:row>0</xdr:row>
                <xdr:rowOff>85725</xdr:rowOff>
              </from>
              <to>
                <xdr:col>2</xdr:col>
                <xdr:colOff>1847850</xdr:colOff>
                <xdr:row>2</xdr:row>
                <xdr:rowOff>76200</xdr:rowOff>
              </to>
            </anchor>
          </objectPr>
        </oleObject>
      </mc:Choice>
      <mc:Fallback>
        <oleObject progId="CorelDraw.Graphic.17" shapeId="1027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4" id="{179B5DC3-A466-4D45-9640-C2B51376ED98}">
            <xm:f>OR(МДанные!$D$155,МДанные!$D$157)</xm:f>
            <x14:dxf>
              <fill>
                <patternFill>
                  <bgColor rgb="FFFF0000"/>
                </patternFill>
              </fill>
            </x14:dxf>
          </x14:cfRule>
          <xm:sqref>D59 D19</xm:sqref>
        </x14:conditionalFormatting>
        <x14:conditionalFormatting xmlns:xm="http://schemas.microsoft.com/office/excel/2006/main">
          <x14:cfRule type="expression" priority="302" id="{2FF0D405-4841-4675-B03B-ED47418F47F8}">
            <xm:f>$D$63&lt;&gt;МДанные!$D$94</xm:f>
            <x14:dxf>
              <fill>
                <patternFill>
                  <bgColor rgb="FFFFFF00"/>
                </patternFill>
              </fill>
            </x14:dxf>
          </x14:cfRule>
          <xm:sqref>C63:D63</xm:sqref>
        </x14:conditionalFormatting>
        <x14:conditionalFormatting xmlns:xm="http://schemas.microsoft.com/office/excel/2006/main">
          <x14:cfRule type="expression" priority="303" id="{5912AFE8-262F-4960-8572-C9398D439CFD}">
            <xm:f>$D$64=МДанные!$D$98</xm:f>
            <x14:dxf>
              <fill>
                <patternFill>
                  <bgColor rgb="FFFFFF00"/>
                </patternFill>
              </fill>
            </x14:dxf>
          </x14:cfRule>
          <xm:sqref>C64:D64</xm:sqref>
        </x14:conditionalFormatting>
        <x14:conditionalFormatting xmlns:xm="http://schemas.microsoft.com/office/excel/2006/main">
          <x14:cfRule type="expression" priority="408" id="{6DEE563D-2307-49D8-BFC9-018A62CEC8A2}">
            <xm:f>МДанные!$D$148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H64 D68</xm:sqref>
        </x14:conditionalFormatting>
        <x14:conditionalFormatting xmlns:xm="http://schemas.microsoft.com/office/excel/2006/main">
          <x14:cfRule type="expression" priority="509" id="{6DEE563D-2307-49D8-BFC9-018A62CEC8A2}">
            <xm:f>МДанные!$D$151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H66 D90</xm:sqref>
        </x14:conditionalFormatting>
        <x14:conditionalFormatting xmlns:xm="http://schemas.microsoft.com/office/excel/2006/main">
          <x14:cfRule type="expression" priority="30" id="{D0251952-6D21-4A94-9B33-C86778BC5382}">
            <xm:f>AND($D19&gt;0,МДанные!$D$150)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D19:D22</xm:sqref>
        </x14:conditionalFormatting>
        <x14:conditionalFormatting xmlns:xm="http://schemas.microsoft.com/office/excel/2006/main">
          <x14:cfRule type="expression" priority="514" id="{D23FC65E-D2CE-4629-9463-21D2A8A50908}">
            <xm:f>МДанные!$D$158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H69:J69</xm:sqref>
        </x14:conditionalFormatting>
        <x14:conditionalFormatting xmlns:xm="http://schemas.microsoft.com/office/excel/2006/main">
          <x14:cfRule type="expression" priority="1383" id="{6DEE563D-2307-49D8-BFC9-018A62CEC8A2}">
            <xm:f>МДанные!$D$149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H65 D88</xm:sqref>
        </x14:conditionalFormatting>
        <x14:conditionalFormatting xmlns:xm="http://schemas.microsoft.com/office/excel/2006/main">
          <x14:cfRule type="expression" priority="6" id="{E1E27979-507C-40A1-AE4B-9367B56AE02D}">
            <xm:f>AND($D8&gt;0,МДанные!$D$149)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D8:D22</xm:sqref>
        </x14:conditionalFormatting>
        <x14:conditionalFormatting xmlns:xm="http://schemas.microsoft.com/office/excel/2006/main">
          <x14:cfRule type="expression" priority="1387" id="{6DEE563D-2307-49D8-BFC9-018A62CEC8A2}">
            <xm:f>МДанные!$D$152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H66 D91</xm:sqref>
        </x14:conditionalFormatting>
        <x14:conditionalFormatting xmlns:xm="http://schemas.microsoft.com/office/excel/2006/main">
          <x14:cfRule type="expression" priority="45" id="{D0251952-6D21-4A94-9B33-C86778BC5382}">
            <xm:f>AND($D20&gt;0,МДанные!$D$151)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D20:D22 D39:D55 D24:D37</xm:sqref>
        </x14:conditionalFormatting>
        <x14:conditionalFormatting xmlns:xm="http://schemas.microsoft.com/office/excel/2006/main">
          <x14:cfRule type="expression" priority="1392" id="{D23FC65E-D2CE-4629-9463-21D2A8A50908}">
            <xm:f>МДанные!$D$159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H70:J70</xm:sqref>
        </x14:conditionalFormatting>
        <x14:conditionalFormatting xmlns:xm="http://schemas.microsoft.com/office/excel/2006/main">
          <x14:cfRule type="expression" priority="1393" id="{D23FC65E-D2CE-4629-9463-21D2A8A50908}">
            <xm:f>МДанные!$D$153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14:cfRule type="expression" priority="4" id="{63290ECF-5A48-47C8-8CD1-BE52A1E3C7B0}">
            <xm:f>МДанные!$D$154</xm:f>
            <x14:dxf>
              <fill>
                <patternFill>
                  <bgColor rgb="FFFF0000"/>
                </patternFill>
              </fill>
            </x14:dxf>
          </x14:cfRule>
          <xm:sqref>H67 D93</xm:sqref>
        </x14:conditionalFormatting>
        <x14:conditionalFormatting xmlns:xm="http://schemas.microsoft.com/office/excel/2006/main">
          <x14:cfRule type="expression" priority="1402" id="{785D56F8-A113-4847-8E1F-0EB69E713C31}">
            <xm:f>МДанные!$D$147</xm:f>
            <x14:dxf>
              <font>
                <b/>
                <i val="0"/>
                <color auto="1"/>
              </font>
              <fill>
                <patternFill>
                  <bgColor rgb="FF00B050"/>
                </patternFill>
              </fill>
            </x14:dxf>
          </x14:cfRule>
          <xm:sqref>H63:J63</xm:sqref>
        </x14:conditionalFormatting>
        <x14:conditionalFormatting xmlns:xm="http://schemas.microsoft.com/office/excel/2006/main">
          <x14:cfRule type="expression" priority="1403" id="{FE0B6486-DF12-4B97-87A6-6E4FC572A6CF}">
            <xm:f>МДанные!$D$150</xm:f>
            <x14:dxf>
              <font>
                <b/>
                <i val="0"/>
                <color auto="1"/>
              </font>
              <fill>
                <patternFill>
                  <fgColor auto="1"/>
                  <bgColor rgb="FFFF0000"/>
                </patternFill>
              </fill>
            </x14:dxf>
          </x14:cfRule>
          <xm:sqref>H65 D89</xm:sqref>
        </x14:conditionalFormatting>
        <x14:conditionalFormatting xmlns:xm="http://schemas.microsoft.com/office/excel/2006/main">
          <x14:cfRule type="expression" priority="1385" id="{E1E27979-507C-40A1-AE4B-9367B56AE02D}">
            <xm:f>AND($D20&gt;0,МДанные!$D$152)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D20:D22</xm:sqref>
        </x14:conditionalFormatting>
        <x14:conditionalFormatting xmlns:xm="http://schemas.microsoft.com/office/excel/2006/main">
          <x14:cfRule type="expression" priority="1406" id="{8B0DBB16-257B-49D5-8328-690928866839}">
            <xm:f>AND(МДанные!$D$153,$D9&gt;0,$K9&gt;0)</xm:f>
            <x14:dxf>
              <fill>
                <patternFill patternType="lightUp">
                  <fgColor rgb="FFFFC000"/>
                </patternFill>
              </fill>
            </x14:dxf>
          </x14:cfRule>
          <xm:sqref>B9:K9 B11:K11 B13:K13 B15:K15 B17:K17 B25:K25 B27:K27 B29:K29 B41:K42 B45:K46 B49:K50 B53:K54 B18 K18 B20:C22 K20:K22 B30:C36 K30:K36</xm:sqref>
        </x14:conditionalFormatting>
        <x14:conditionalFormatting xmlns:xm="http://schemas.microsoft.com/office/excel/2006/main">
          <x14:cfRule type="expression" priority="1618" id="{D23FC65E-D2CE-4629-9463-21D2A8A50908}">
            <xm:f>МДанные!$D$160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H71:J71</xm:sqref>
        </x14:conditionalFormatting>
        <x14:conditionalFormatting xmlns:xm="http://schemas.microsoft.com/office/excel/2006/main">
          <x14:cfRule type="expression" priority="1619" id="{F496A612-6DAE-409B-B91E-24689DA7235A}">
            <xm:f>МДанные!$D$156</xm:f>
            <x14:dxf>
              <fill>
                <patternFill>
                  <bgColor rgb="FFFFC000"/>
                </patternFill>
              </fill>
            </x14:dxf>
          </x14:cfRule>
          <xm:sqref>D19</xm:sqref>
        </x14:conditionalFormatting>
        <x14:conditionalFormatting xmlns:xm="http://schemas.microsoft.com/office/excel/2006/main">
          <x14:cfRule type="expression" priority="1620" id="{A52126F9-E54A-4C79-BD24-0696793C2AC1}">
            <xm:f>OR(МДанные!$D$155,МДанные!$D$157)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expression" priority="1621" id="{14901237-C3FE-4E52-B121-AD9313AE5D33}">
            <xm:f>МДанные!$D$156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H68 D95</xm:sqref>
        </x14:conditionalFormatting>
        <x14:conditionalFormatting xmlns:xm="http://schemas.microsoft.com/office/excel/2006/main">
          <x14:cfRule type="expression" priority="1624" id="{A59E1891-59DC-4D31-B942-17E1A1E13A42}">
            <xm:f>МДанные!$D$156</xm:f>
            <x14:dxf>
              <fill>
                <patternFill patternType="lightUp">
                  <fgColor rgb="FFFFC000"/>
                </patternFill>
              </fill>
            </x14:dxf>
          </x14:cfRule>
          <xm:sqref>B59:J60</xm:sqref>
        </x14:conditionalFormatting>
        <x14:conditionalFormatting xmlns:xm="http://schemas.microsoft.com/office/excel/2006/main">
          <x14:cfRule type="expression" priority="1625" id="{1F40FCEF-86F4-495A-BA15-A5258A88EA1B}">
            <xm:f>МДанные!$D$159</xm:f>
            <x14:dxf>
              <fill>
                <patternFill patternType="solid">
                  <fgColor rgb="FFFFC000"/>
                  <bgColor rgb="FFFFC000"/>
                </patternFill>
              </fill>
            </x14:dxf>
          </x14:cfRule>
          <xm:sqref>B57:J57</xm:sqref>
        </x14:conditionalFormatting>
        <x14:conditionalFormatting xmlns:xm="http://schemas.microsoft.com/office/excel/2006/main">
          <x14:cfRule type="expression" priority="1626" id="{338945F6-E4D9-46C1-95A0-7067F6531F07}">
            <xm:f>МДанные!$D$156</xm:f>
            <x14:dxf>
              <font>
                <color rgb="FFFFC000"/>
              </font>
            </x14:dxf>
          </x14:cfRule>
          <xm:sqref>E95</xm:sqref>
        </x14:conditionalFormatting>
        <x14:conditionalFormatting xmlns:xm="http://schemas.microsoft.com/office/excel/2006/main">
          <x14:cfRule type="expression" priority="1628" id="{43AE2701-8AB3-4800-B364-18EE77D4169B}">
            <xm:f>AND(МДанные!$D$159)</xm:f>
            <x14:dxf>
              <fill>
                <patternFill patternType="lightTrellis">
                  <fgColor rgb="FFFFC000"/>
                </patternFill>
              </fill>
            </x14:dxf>
          </x14:cfRule>
          <xm:sqref>D8:D17</xm:sqref>
        </x14:conditionalFormatting>
        <x14:conditionalFormatting xmlns:xm="http://schemas.microsoft.com/office/excel/2006/main">
          <x14:cfRule type="expression" priority="349" id="{F496A612-6DAE-409B-B91E-24689DA7235A}">
            <xm:f>МДанные!$D$160</xm:f>
            <x14:dxf>
              <fill>
                <patternFill>
                  <bgColor rgb="FFFFC000"/>
                </patternFill>
              </fill>
            </x14:dxf>
          </x14:cfRule>
          <xm:sqref>B58:J58</xm:sqref>
        </x14:conditionalFormatting>
        <x14:conditionalFormatting xmlns:xm="http://schemas.microsoft.com/office/excel/2006/main">
          <x14:cfRule type="expression" priority="1627" id="{2EA9ADF7-4FE3-45B4-B775-D8B52E2EC3A1}">
            <xm:f>МДанные!$D$160</xm:f>
            <x14:dxf>
              <fill>
                <patternFill patternType="lightTrellis">
                  <fgColor rgb="FFFFC000"/>
                </patternFill>
              </fill>
            </x14:dxf>
          </x14:cfRule>
          <xm:sqref>D18</xm:sqref>
        </x14:conditionalFormatting>
        <x14:conditionalFormatting xmlns:xm="http://schemas.microsoft.com/office/excel/2006/main">
          <x14:cfRule type="expression" priority="1630" id="{00C76A76-8E71-41BB-97A9-26237B4D7AAF}">
            <xm:f>NOT(МДанные!$D$161)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H72:J72 C3</xm:sqref>
        </x14:conditionalFormatting>
        <x14:conditionalFormatting xmlns:xm="http://schemas.microsoft.com/office/excel/2006/main">
          <x14:cfRule type="expression" priority="2079" id="{112CF962-353E-4EE1-9642-7B942A9EE49B}">
            <xm:f>AND($L30&gt;0,МДанные!$D$161)</xm:f>
            <x14:dxf>
              <fill>
                <patternFill>
                  <bgColor rgb="FFFFC000"/>
                </patternFill>
              </fill>
            </x14:dxf>
          </x14:cfRule>
          <xm:sqref>L30:L35</xm:sqref>
        </x14:conditionalFormatting>
        <x14:conditionalFormatting xmlns:xm="http://schemas.microsoft.com/office/excel/2006/main">
          <x14:cfRule type="expression" priority="3" id="{CF876C3C-3551-44CC-A2B7-99A1D5F6FFC4}">
            <xm:f>МДанные!$D$154</xm:f>
            <x14:dxf>
              <font>
                <color rgb="FFFF0000"/>
              </font>
            </x14:dxf>
          </x14:cfRule>
          <xm:sqref>E93</xm:sqref>
        </x14:conditionalFormatting>
        <x14:conditionalFormatting xmlns:xm="http://schemas.microsoft.com/office/excel/2006/main">
          <x14:cfRule type="expression" priority="1405" id="{97A295EA-CB40-4D20-956C-0D09C15CB784}">
            <xm:f>AND(МДанные!$D$154,$D9&gt;0,$K9&gt;0)</xm:f>
            <x14:dxf>
              <fill>
                <patternFill patternType="darkUp">
                  <fgColor rgb="FFFF0000"/>
                </patternFill>
              </fill>
            </x14:dxf>
          </x14:cfRule>
          <xm:sqref>B9:K9 B11:K11 B13:K13 B15:K15 B17:K17 B25:K25 B27:K27 B29:K29 B41:K42 B45:K46 B49:K50 B53:K54 K18 K20:K22 B18 B20:C22 K30:K36 B30:C36</xm:sqref>
        </x14:conditionalFormatting>
        <x14:conditionalFormatting xmlns:xm="http://schemas.microsoft.com/office/excel/2006/main">
          <x14:cfRule type="expression" priority="2" id="{66809254-F75E-4CD6-AA8D-AF123263075E}">
            <xm:f>AND($L39&lt;&gt;МДанные!$J$106,$D39&gt;0)</xm:f>
            <x14:dxf>
              <fill>
                <patternFill>
                  <bgColor rgb="FFFFFF00"/>
                </patternFill>
              </fill>
            </x14:dxf>
          </x14:cfRule>
          <xm:sqref>L39 L41 L43 L45 L47 L49 L51 L53</xm:sqref>
        </x14:conditionalFormatting>
        <x14:conditionalFormatting xmlns:xm="http://schemas.microsoft.com/office/excel/2006/main">
          <x14:cfRule type="expression" priority="1" id="{A32C5666-25A5-45A7-A284-828FD2A8A681}">
            <xm:f>AND($L40&lt;&gt;МДанные!$J$74,$D40&gt;0)</xm:f>
            <x14:dxf>
              <fill>
                <patternFill>
                  <bgColor rgb="FFFFFF00"/>
                </patternFill>
              </fill>
            </x14:dxf>
          </x14:cfRule>
          <xm:sqref>L40 L42 L44 L46 L48 L50 L52 L54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="Введите значение из выпадающего списка!">
          <x14:formula1>
            <xm:f>МДанные!$D$93:$D$95</xm:f>
          </x14:formula1>
          <xm:sqref>D63</xm:sqref>
        </x14:dataValidation>
        <x14:dataValidation type="list" allowBlank="1" showInputMessage="1" showErrorMessage="1" error="Введите значение из выпадающего списка!">
          <x14:formula1>
            <xm:f>МДанные!$D$98:$D$99</xm:f>
          </x14:formula1>
          <xm:sqref>D64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МДанные!I65</xm:f>
          </x14:formula2>
          <xm:sqref>D59</xm:sqref>
        </x14:dataValidation>
        <x14:dataValidation type="whole" allowBlank="1" showErrorMessage="1" error="Превышено количество устройств данного типа! Сначала добавьте извещатели.">
          <x14:formula1>
            <xm:f>0</xm:f>
          </x14:formula1>
          <x14:formula2>
            <xm:f>МДанные!I57</xm:f>
          </x14:formula2>
          <xm:sqref>D57</xm:sqref>
        </x14:dataValidation>
        <x14:dataValidation type="whole" allowBlank="1" showErrorMessage="1" error="Превышено количество устройств данного типа! Сначала добавьте извещатели.">
          <x14:formula1>
            <xm:f>0</xm:f>
          </x14:formula1>
          <x14:formula2>
            <xm:f>МДанные!I61</xm:f>
          </x14:formula2>
          <xm:sqref>D58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МДанные!L24</xm:f>
          </x14:formula2>
          <xm:sqref>D24:D37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МДанные!L39</xm:f>
          </x14:formula2>
          <xm:sqref>D39:D55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МДанные!L8</xm:f>
          </x14:formula2>
          <xm:sqref>D8:D22</xm:sqref>
        </x14:dataValidation>
        <x14:dataValidation type="list" allowBlank="1" showInputMessage="1" showErrorMessage="1">
          <x14:formula1>
            <xm:f>МДанные!$J$106:$J$137</xm:f>
          </x14:formula1>
          <xm:sqref>L39 L41 L43 L45 L47 L49 L51 L53</xm:sqref>
        </x14:dataValidation>
        <x14:dataValidation type="list" allowBlank="1" showInputMessage="1" showErrorMessage="1">
          <x14:formula1>
            <xm:f>МДанные!$J$74:$J$105</xm:f>
          </x14:formula1>
          <xm:sqref>L40 L42 L44 L46 L48 L50 L52 L54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188"/>
  <sheetViews>
    <sheetView workbookViewId="0">
      <pane ySplit="6" topLeftCell="A7" activePane="bottomLeft" state="frozen"/>
      <selection activeCell="B1" sqref="B1"/>
      <selection pane="bottomLeft" activeCell="D8" sqref="D8"/>
    </sheetView>
  </sheetViews>
  <sheetFormatPr defaultRowHeight="15" x14ac:dyDescent="0.25"/>
  <cols>
    <col min="1" max="1" width="1.5703125" customWidth="1"/>
    <col min="2" max="2" width="13.5703125" customWidth="1"/>
    <col min="3" max="3" width="68.5703125" customWidth="1"/>
    <col min="4" max="5" width="11.42578125" customWidth="1"/>
    <col min="6" max="12" width="17.140625" customWidth="1"/>
    <col min="13" max="24" width="14.28515625" customWidth="1"/>
  </cols>
  <sheetData>
    <row r="1" spans="1:26" x14ac:dyDescent="0.25">
      <c r="A1" s="3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0.25" x14ac:dyDescent="0.3">
      <c r="A2" s="3"/>
      <c r="B2" s="2"/>
      <c r="C2" s="475" t="s">
        <v>336</v>
      </c>
      <c r="D2" s="475"/>
      <c r="E2" s="475"/>
      <c r="F2" s="475"/>
      <c r="G2" s="475"/>
      <c r="H2" s="475"/>
      <c r="I2" s="475"/>
      <c r="J2" s="95"/>
      <c r="K2" s="95"/>
      <c r="L2" s="1"/>
      <c r="M2" s="1"/>
      <c r="N2" s="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x14ac:dyDescent="0.25">
      <c r="A3" s="3"/>
      <c r="B3" s="2"/>
      <c r="C3" s="482" t="str">
        <f>IF(МДанные!D179,"",H72)</f>
        <v>Модуль не добавлен в расчет шкафа</v>
      </c>
      <c r="D3" s="482"/>
      <c r="E3" s="482"/>
      <c r="F3" s="482"/>
      <c r="G3" s="482"/>
      <c r="H3" s="482"/>
      <c r="I3" s="482"/>
      <c r="J3" s="187"/>
      <c r="K3" s="187"/>
      <c r="L3" s="46"/>
      <c r="M3" s="46"/>
      <c r="N3" s="46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5">
      <c r="A4" s="3"/>
      <c r="B4" s="2"/>
      <c r="C4" s="2"/>
      <c r="D4" s="2"/>
      <c r="E4" s="1"/>
      <c r="F4" s="2"/>
      <c r="G4" s="2"/>
      <c r="H4" s="2"/>
      <c r="I4" s="2"/>
      <c r="J4" s="2"/>
      <c r="K4" s="449" t="s">
        <v>0</v>
      </c>
      <c r="L4" s="45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5">
      <c r="A5" s="3"/>
      <c r="B5" s="4"/>
      <c r="C5" s="4" t="s">
        <v>777</v>
      </c>
      <c r="D5" s="4"/>
      <c r="E5" s="1"/>
      <c r="F5" s="4"/>
      <c r="G5" s="4"/>
      <c r="H5" s="4"/>
      <c r="I5" s="4"/>
      <c r="J5" s="4"/>
      <c r="K5" s="451"/>
      <c r="L5" s="452"/>
      <c r="M5" s="1"/>
      <c r="N5" s="1"/>
      <c r="O5" s="1"/>
      <c r="P5" s="1"/>
      <c r="Q5" s="1"/>
      <c r="R5" s="1"/>
      <c r="S5" s="1"/>
      <c r="T5" s="1"/>
      <c r="U5" s="1"/>
      <c r="V5" s="1"/>
      <c r="W5" s="3"/>
      <c r="X5" s="3"/>
      <c r="Y5" s="3"/>
      <c r="Z5" s="3"/>
    </row>
    <row r="6" spans="1:26" ht="51" x14ac:dyDescent="0.25">
      <c r="A6" s="3"/>
      <c r="B6" s="468" t="s">
        <v>337</v>
      </c>
      <c r="C6" s="469"/>
      <c r="D6" s="5" t="s">
        <v>1</v>
      </c>
      <c r="E6" s="372" t="s">
        <v>871</v>
      </c>
      <c r="F6" s="5" t="s">
        <v>37</v>
      </c>
      <c r="G6" s="5" t="s">
        <v>38</v>
      </c>
      <c r="H6" s="5" t="s">
        <v>2</v>
      </c>
      <c r="I6" s="5" t="s">
        <v>41</v>
      </c>
      <c r="J6" s="6" t="s">
        <v>39</v>
      </c>
      <c r="K6" s="7" t="s">
        <v>40</v>
      </c>
      <c r="L6" s="25" t="s">
        <v>644</v>
      </c>
      <c r="M6" s="1"/>
      <c r="N6" s="1"/>
      <c r="O6" s="1"/>
      <c r="P6" s="1"/>
      <c r="Q6" s="1"/>
      <c r="R6" s="1"/>
      <c r="S6" s="1"/>
      <c r="T6" s="1"/>
      <c r="U6" s="1"/>
      <c r="V6" s="1"/>
      <c r="W6" s="43"/>
      <c r="X6" s="3"/>
      <c r="Y6" s="3"/>
      <c r="Z6" s="3"/>
    </row>
    <row r="7" spans="1:26" ht="15.75" x14ac:dyDescent="0.25">
      <c r="A7" s="3"/>
      <c r="B7" s="470" t="s">
        <v>3</v>
      </c>
      <c r="C7" s="471"/>
      <c r="D7" s="471"/>
      <c r="E7" s="471"/>
      <c r="F7" s="471"/>
      <c r="G7" s="471"/>
      <c r="H7" s="471"/>
      <c r="I7" s="471"/>
      <c r="J7" s="16"/>
      <c r="K7" s="381"/>
      <c r="L7" s="19"/>
      <c r="M7" s="1"/>
      <c r="N7" s="1"/>
      <c r="O7" s="1"/>
      <c r="P7" s="1"/>
      <c r="Q7" s="1"/>
      <c r="R7" s="1"/>
      <c r="S7" s="1"/>
      <c r="T7" s="1"/>
      <c r="U7" s="1"/>
      <c r="V7" s="1"/>
      <c r="W7" s="3"/>
      <c r="X7" s="3"/>
      <c r="Y7" s="3"/>
      <c r="Z7" s="3"/>
    </row>
    <row r="8" spans="1:26" x14ac:dyDescent="0.25">
      <c r="A8" s="3"/>
      <c r="B8" s="463" t="s">
        <v>4</v>
      </c>
      <c r="C8" s="464"/>
      <c r="D8" s="36">
        <v>0</v>
      </c>
      <c r="E8" s="373">
        <f>MAX(0,MIN(МДанные!AG8,МДанные!AH8,МДанные!AI8))+D8</f>
        <v>159</v>
      </c>
      <c r="F8" s="8">
        <f>МДанные!E8*МДанные!$D$77</f>
        <v>0.28499999999999998</v>
      </c>
      <c r="G8" s="8">
        <f>МДанные!F8*МДанные!$D$77</f>
        <v>3.3249999999999997</v>
      </c>
      <c r="H8" s="9">
        <f t="shared" ref="H8:H17" si="0">D8*F8</f>
        <v>0</v>
      </c>
      <c r="I8" s="8">
        <f>IF(D8&gt;МДанные!$D$82-МДанные!Q8,МДанные!$D$82-МДанные!Q8,D8)</f>
        <v>0</v>
      </c>
      <c r="J8" s="9">
        <f t="shared" ref="J8:J22" si="1">I8*G8</f>
        <v>0</v>
      </c>
      <c r="K8" s="10" t="str">
        <f>МДанные!D135</f>
        <v>НЕТ</v>
      </c>
      <c r="L8" s="17"/>
      <c r="M8" s="1"/>
      <c r="N8" s="1"/>
      <c r="O8" s="1"/>
      <c r="P8" s="1"/>
      <c r="Q8" s="1"/>
      <c r="R8" s="1"/>
      <c r="S8" s="1"/>
      <c r="T8" s="1"/>
      <c r="U8" s="1"/>
      <c r="V8" s="1"/>
      <c r="W8" s="44"/>
      <c r="X8" s="3"/>
      <c r="Y8" s="3"/>
      <c r="Z8" s="3"/>
    </row>
    <row r="9" spans="1:26" x14ac:dyDescent="0.25">
      <c r="A9" s="3"/>
      <c r="B9" s="461" t="s">
        <v>5</v>
      </c>
      <c r="C9" s="462"/>
      <c r="D9" s="36">
        <v>0</v>
      </c>
      <c r="E9" s="374">
        <f>MAX(0,MIN(МДанные!AG9,МДанные!AH9,МДанные!AI9))+D9</f>
        <v>0</v>
      </c>
      <c r="F9" s="11">
        <f>(МДанные!E9+МДанные!J9)*МДанные!$D$77</f>
        <v>0.33249999999999996</v>
      </c>
      <c r="G9" s="11">
        <f>МДанные!F9*МДанные!$D$77</f>
        <v>3.3249999999999997</v>
      </c>
      <c r="H9" s="12">
        <f t="shared" si="0"/>
        <v>0</v>
      </c>
      <c r="I9" s="11">
        <f>IF(D9&gt;МДанные!$D$82-МДанные!Q9,МДанные!$D$82-МДанные!Q9,D9)</f>
        <v>0</v>
      </c>
      <c r="J9" s="12">
        <f t="shared" si="1"/>
        <v>0</v>
      </c>
      <c r="K9" s="13">
        <f>D9</f>
        <v>0</v>
      </c>
      <c r="L9" s="18"/>
      <c r="M9" s="1"/>
      <c r="N9" s="1"/>
      <c r="O9" s="1"/>
      <c r="P9" s="1"/>
      <c r="Q9" s="1"/>
      <c r="R9" s="1"/>
      <c r="S9" s="1"/>
      <c r="T9" s="1"/>
      <c r="U9" s="1"/>
      <c r="V9" s="1"/>
      <c r="W9" s="44"/>
      <c r="X9" s="3"/>
      <c r="Y9" s="3"/>
      <c r="Z9" s="3"/>
    </row>
    <row r="10" spans="1:26" x14ac:dyDescent="0.25">
      <c r="A10" s="3"/>
      <c r="B10" s="463" t="s">
        <v>6</v>
      </c>
      <c r="C10" s="464"/>
      <c r="D10" s="36">
        <v>0</v>
      </c>
      <c r="E10" s="373">
        <f>MAX(0,MIN(МДанные!AG10,МДанные!AH10,МДанные!AI10))+D10</f>
        <v>159</v>
      </c>
      <c r="F10" s="8">
        <f>МДанные!E10*МДанные!$D$77</f>
        <v>0.28499999999999998</v>
      </c>
      <c r="G10" s="8">
        <f>МДанные!F10*МДанные!$D$77</f>
        <v>3.3249999999999997</v>
      </c>
      <c r="H10" s="9">
        <f t="shared" si="0"/>
        <v>0</v>
      </c>
      <c r="I10" s="8">
        <f>IF(D10&gt;МДанные!$D$82-МДанные!Q10,МДанные!$D$82-МДанные!Q10,D10)</f>
        <v>0</v>
      </c>
      <c r="J10" s="9">
        <f t="shared" si="1"/>
        <v>0</v>
      </c>
      <c r="K10" s="10" t="str">
        <f>МДанные!D135</f>
        <v>НЕТ</v>
      </c>
      <c r="L10" s="18"/>
      <c r="M10" s="1"/>
      <c r="N10" s="1"/>
      <c r="O10" s="1"/>
      <c r="P10" s="1"/>
      <c r="Q10" s="1"/>
      <c r="R10" s="1"/>
      <c r="S10" s="1"/>
      <c r="T10" s="1"/>
      <c r="U10" s="1"/>
      <c r="V10" s="1"/>
      <c r="W10" s="44"/>
      <c r="X10" s="3"/>
      <c r="Y10" s="3"/>
      <c r="Z10" s="3"/>
    </row>
    <row r="11" spans="1:26" x14ac:dyDescent="0.25">
      <c r="A11" s="3"/>
      <c r="B11" s="461" t="s">
        <v>7</v>
      </c>
      <c r="C11" s="462"/>
      <c r="D11" s="36">
        <v>0</v>
      </c>
      <c r="E11" s="374">
        <f>MAX(0,MIN(МДанные!AG11,МДанные!AH11,МДанные!AI11))+D11</f>
        <v>0</v>
      </c>
      <c r="F11" s="11">
        <f>(МДанные!E11+МДанные!J11)*МДанные!$D$77</f>
        <v>0.33249999999999996</v>
      </c>
      <c r="G11" s="11">
        <f>МДанные!F11*МДанные!$D$77</f>
        <v>3.3249999999999997</v>
      </c>
      <c r="H11" s="12">
        <f t="shared" si="0"/>
        <v>0</v>
      </c>
      <c r="I11" s="11">
        <f>IF(D11&gt;МДанные!$D$82-МДанные!Q11,МДанные!$D$82-МДанные!Q11,D11)</f>
        <v>0</v>
      </c>
      <c r="J11" s="12">
        <f t="shared" si="1"/>
        <v>0</v>
      </c>
      <c r="K11" s="13">
        <f>D11</f>
        <v>0</v>
      </c>
      <c r="L11" s="18"/>
      <c r="M11" s="1"/>
      <c r="N11" s="1"/>
      <c r="O11" s="1"/>
      <c r="P11" s="1"/>
      <c r="Q11" s="1"/>
      <c r="R11" s="1"/>
      <c r="S11" s="1"/>
      <c r="T11" s="1"/>
      <c r="U11" s="1"/>
      <c r="V11" s="1"/>
      <c r="W11" s="44"/>
      <c r="X11" s="3"/>
      <c r="Y11" s="3"/>
      <c r="Z11" s="3"/>
    </row>
    <row r="12" spans="1:26" x14ac:dyDescent="0.25">
      <c r="A12" s="3"/>
      <c r="B12" s="463" t="s">
        <v>8</v>
      </c>
      <c r="C12" s="464"/>
      <c r="D12" s="36">
        <v>0</v>
      </c>
      <c r="E12" s="373">
        <f>MAX(0,MIN(МДанные!AG12,МДанные!AH12,МДанные!AI12))+D12</f>
        <v>159</v>
      </c>
      <c r="F12" s="8">
        <f>МДанные!E12*МДанные!$D$77</f>
        <v>0.28499999999999998</v>
      </c>
      <c r="G12" s="8">
        <f>МДанные!F12*МДанные!$D$77</f>
        <v>3.3249999999999997</v>
      </c>
      <c r="H12" s="9">
        <f t="shared" si="0"/>
        <v>0</v>
      </c>
      <c r="I12" s="8">
        <f>IF(D12&gt;МДанные!$D$82-МДанные!Q12,МДанные!$D$82-МДанные!Q12,D12)</f>
        <v>0</v>
      </c>
      <c r="J12" s="9">
        <f t="shared" si="1"/>
        <v>0</v>
      </c>
      <c r="K12" s="10" t="str">
        <f>МДанные!D135</f>
        <v>НЕТ</v>
      </c>
      <c r="L12" s="18"/>
      <c r="M12" s="1"/>
      <c r="N12" s="1"/>
      <c r="O12" s="1"/>
      <c r="P12" s="1"/>
      <c r="Q12" s="1"/>
      <c r="R12" s="1"/>
      <c r="S12" s="1"/>
      <c r="T12" s="1"/>
      <c r="U12" s="1"/>
      <c r="V12" s="1"/>
      <c r="W12" s="44"/>
      <c r="X12" s="3"/>
      <c r="Y12" s="3"/>
      <c r="Z12" s="3"/>
    </row>
    <row r="13" spans="1:26" x14ac:dyDescent="0.25">
      <c r="A13" s="3"/>
      <c r="B13" s="461" t="s">
        <v>9</v>
      </c>
      <c r="C13" s="462"/>
      <c r="D13" s="36">
        <v>0</v>
      </c>
      <c r="E13" s="374">
        <f>MAX(0,MIN(МДанные!AG13,МДанные!AH13,МДанные!AI13))+D13</f>
        <v>0</v>
      </c>
      <c r="F13" s="11">
        <f>(МДанные!E13+МДанные!J13)*МДанные!$D$77</f>
        <v>0.33249999999999996</v>
      </c>
      <c r="G13" s="11">
        <f>МДанные!F13*МДанные!$D$77</f>
        <v>3.3249999999999997</v>
      </c>
      <c r="H13" s="12">
        <f t="shared" si="0"/>
        <v>0</v>
      </c>
      <c r="I13" s="11">
        <f>IF(D13&gt;МДанные!$D$82-МДанные!Q13,МДанные!$D$82-МДанные!Q13,D13)</f>
        <v>0</v>
      </c>
      <c r="J13" s="12">
        <f t="shared" si="1"/>
        <v>0</v>
      </c>
      <c r="K13" s="13">
        <f>D13</f>
        <v>0</v>
      </c>
      <c r="L13" s="18"/>
      <c r="M13" s="1"/>
      <c r="N13" s="1"/>
      <c r="O13" s="1"/>
      <c r="P13" s="1"/>
      <c r="Q13" s="1"/>
      <c r="R13" s="1"/>
      <c r="S13" s="1"/>
      <c r="T13" s="1"/>
      <c r="U13" s="1"/>
      <c r="V13" s="1"/>
      <c r="W13" s="44"/>
      <c r="X13" s="3"/>
      <c r="Y13" s="3"/>
      <c r="Z13" s="3"/>
    </row>
    <row r="14" spans="1:26" x14ac:dyDescent="0.25">
      <c r="A14" s="3"/>
      <c r="B14" s="463" t="s">
        <v>10</v>
      </c>
      <c r="C14" s="464"/>
      <c r="D14" s="36">
        <v>0</v>
      </c>
      <c r="E14" s="373">
        <f>MAX(0,MIN(МДанные!AG14,МДанные!AH14,МДанные!AI14))+D14</f>
        <v>159</v>
      </c>
      <c r="F14" s="8">
        <f>МДанные!E14*МДанные!$D$77</f>
        <v>0.28499999999999998</v>
      </c>
      <c r="G14" s="8">
        <f>МДанные!F14*МДанные!$D$77</f>
        <v>3.3249999999999997</v>
      </c>
      <c r="H14" s="9">
        <f t="shared" si="0"/>
        <v>0</v>
      </c>
      <c r="I14" s="8">
        <f>IF(D14&gt;МДанные!$D$82-МДанные!Q14,МДанные!$D$82-МДанные!Q14,D14)</f>
        <v>0</v>
      </c>
      <c r="J14" s="9">
        <f t="shared" si="1"/>
        <v>0</v>
      </c>
      <c r="K14" s="10" t="str">
        <f>МДанные!D135</f>
        <v>НЕТ</v>
      </c>
      <c r="L14" s="18"/>
      <c r="M14" s="1"/>
      <c r="N14" s="1"/>
      <c r="O14" s="1"/>
      <c r="P14" s="1"/>
      <c r="Q14" s="1"/>
      <c r="R14" s="1"/>
      <c r="S14" s="1"/>
      <c r="T14" s="1"/>
      <c r="U14" s="1"/>
      <c r="V14" s="1"/>
      <c r="W14" s="44"/>
      <c r="X14" s="3"/>
      <c r="Y14" s="3"/>
      <c r="Z14" s="3"/>
    </row>
    <row r="15" spans="1:26" x14ac:dyDescent="0.25">
      <c r="A15" s="3"/>
      <c r="B15" s="461" t="s">
        <v>11</v>
      </c>
      <c r="C15" s="462"/>
      <c r="D15" s="36">
        <v>0</v>
      </c>
      <c r="E15" s="374">
        <f>MAX(0,MIN(МДанные!AG15,МДанные!AH15,МДанные!AI15))+D15</f>
        <v>0</v>
      </c>
      <c r="F15" s="11">
        <f>(МДанные!E15+МДанные!J15)*МДанные!$D$77</f>
        <v>0.33249999999999996</v>
      </c>
      <c r="G15" s="11">
        <f>МДанные!F15*МДанные!$D$77</f>
        <v>3.3249999999999997</v>
      </c>
      <c r="H15" s="12">
        <f t="shared" si="0"/>
        <v>0</v>
      </c>
      <c r="I15" s="11">
        <f>IF(D15&gt;МДанные!$D$82-МДанные!Q15,МДанные!$D$82-МДанные!Q15,D15)</f>
        <v>0</v>
      </c>
      <c r="J15" s="12">
        <f t="shared" si="1"/>
        <v>0</v>
      </c>
      <c r="K15" s="13">
        <f>D15</f>
        <v>0</v>
      </c>
      <c r="L15" s="18"/>
      <c r="M15" s="1"/>
      <c r="N15" s="1"/>
      <c r="O15" s="1"/>
      <c r="P15" s="1"/>
      <c r="Q15" s="1"/>
      <c r="R15" s="1"/>
      <c r="S15" s="1"/>
      <c r="T15" s="1"/>
      <c r="U15" s="1"/>
      <c r="V15" s="1"/>
      <c r="W15" s="44"/>
      <c r="X15" s="3"/>
      <c r="Y15" s="3"/>
      <c r="Z15" s="3"/>
    </row>
    <row r="16" spans="1:26" x14ac:dyDescent="0.25">
      <c r="A16" s="3"/>
      <c r="B16" s="463" t="s">
        <v>12</v>
      </c>
      <c r="C16" s="464"/>
      <c r="D16" s="36">
        <v>0</v>
      </c>
      <c r="E16" s="373">
        <f>MAX(0,MIN(МДанные!AG16,МДанные!AH16,МДанные!AI16))+D16</f>
        <v>159</v>
      </c>
      <c r="F16" s="8">
        <f>МДанные!E16*МДанные!$D$77</f>
        <v>0.28499999999999998</v>
      </c>
      <c r="G16" s="8">
        <f>МДанные!F16*МДанные!$D$77</f>
        <v>3.3249999999999997</v>
      </c>
      <c r="H16" s="9">
        <f t="shared" si="0"/>
        <v>0</v>
      </c>
      <c r="I16" s="8">
        <f>IF(D16&gt;МДанные!$D$82-МДанные!Q16,МДанные!$D$82-МДанные!Q16,D16)</f>
        <v>0</v>
      </c>
      <c r="J16" s="9">
        <f t="shared" si="1"/>
        <v>0</v>
      </c>
      <c r="K16" s="10" t="str">
        <f>МДанные!D135</f>
        <v>НЕТ</v>
      </c>
      <c r="L16" s="18"/>
      <c r="M16" s="1"/>
      <c r="N16" s="1"/>
      <c r="O16" s="1"/>
      <c r="P16" s="1"/>
      <c r="Q16" s="1"/>
      <c r="R16" s="1"/>
      <c r="S16" s="1"/>
      <c r="T16" s="1"/>
      <c r="U16" s="1"/>
      <c r="V16" s="1"/>
      <c r="W16" s="44"/>
      <c r="X16" s="3"/>
      <c r="Y16" s="3"/>
      <c r="Z16" s="3"/>
    </row>
    <row r="17" spans="1:26" x14ac:dyDescent="0.25">
      <c r="A17" s="3"/>
      <c r="B17" s="461" t="s">
        <v>13</v>
      </c>
      <c r="C17" s="462"/>
      <c r="D17" s="36">
        <v>0</v>
      </c>
      <c r="E17" s="374">
        <f>MAX(0,MIN(МДанные!AG17,МДанные!AH17,МДанные!AI17))+D17</f>
        <v>0</v>
      </c>
      <c r="F17" s="11">
        <f>(МДанные!E17+МДанные!J17)*МДанные!$D$77</f>
        <v>0.33249999999999996</v>
      </c>
      <c r="G17" s="11">
        <f>МДанные!F17*МДанные!$D$77</f>
        <v>3.3249999999999997</v>
      </c>
      <c r="H17" s="12">
        <f t="shared" si="0"/>
        <v>0</v>
      </c>
      <c r="I17" s="11">
        <f>IF(D17&gt;МДанные!$D$82-МДанные!Q17,МДанные!$D$82-МДанные!Q17,D17)</f>
        <v>0</v>
      </c>
      <c r="J17" s="12">
        <f t="shared" si="1"/>
        <v>0</v>
      </c>
      <c r="K17" s="13">
        <f>D17</f>
        <v>0</v>
      </c>
      <c r="L17" s="18"/>
      <c r="M17" s="1"/>
      <c r="N17" s="1"/>
      <c r="O17" s="1"/>
      <c r="P17" s="1"/>
      <c r="Q17" s="1"/>
      <c r="R17" s="1"/>
      <c r="S17" s="1"/>
      <c r="T17" s="1"/>
      <c r="U17" s="1"/>
      <c r="V17" s="1"/>
      <c r="W17" s="44"/>
      <c r="X17" s="3"/>
      <c r="Y17" s="3"/>
      <c r="Z17" s="3"/>
    </row>
    <row r="18" spans="1:26" x14ac:dyDescent="0.25">
      <c r="A18" s="3"/>
      <c r="B18" s="463" t="s">
        <v>14</v>
      </c>
      <c r="C18" s="464"/>
      <c r="D18" s="36">
        <v>0</v>
      </c>
      <c r="E18" s="373">
        <f>MAX(0,MIN(МДанные!AG18,МДанные!AH18,МДанные!AI18))+D18</f>
        <v>100</v>
      </c>
      <c r="F18" s="8">
        <f>МДанные!E18*МДанные!$D$77</f>
        <v>1.9</v>
      </c>
      <c r="G18" s="8">
        <f>МДанные!F18*МДанные!$D$77</f>
        <v>6.1749999999999998</v>
      </c>
      <c r="H18" s="9">
        <f>F18*D18+МДанные!J18*МДанные!W18</f>
        <v>0</v>
      </c>
      <c r="I18" s="8">
        <f>IF(D18&gt;МДанные!$D$82-МДанные!Q18,МДанные!$D$82-МДанные!Q18,D18)</f>
        <v>0</v>
      </c>
      <c r="J18" s="9">
        <f t="shared" si="1"/>
        <v>0</v>
      </c>
      <c r="K18" s="38">
        <v>0</v>
      </c>
      <c r="L18" s="18"/>
      <c r="M18" s="1"/>
      <c r="N18" s="1"/>
      <c r="O18" s="1"/>
      <c r="P18" s="1"/>
      <c r="Q18" s="1"/>
      <c r="R18" s="1"/>
      <c r="S18" s="1"/>
      <c r="T18" s="1"/>
      <c r="U18" s="1"/>
      <c r="V18" s="1"/>
      <c r="W18" s="44"/>
      <c r="X18" s="3"/>
      <c r="Y18" s="3"/>
      <c r="Z18" s="3"/>
    </row>
    <row r="19" spans="1:26" x14ac:dyDescent="0.25">
      <c r="A19" s="3"/>
      <c r="B19" s="461" t="s">
        <v>15</v>
      </c>
      <c r="C19" s="462"/>
      <c r="D19" s="36">
        <v>0</v>
      </c>
      <c r="E19" s="374">
        <f>MAX(0,MIN(МДанные!AG19,МДанные!AH19,МДанные!AI19))+D19</f>
        <v>0</v>
      </c>
      <c r="F19" s="11">
        <f>МДанные!E19*МДанные!$D$77</f>
        <v>0.3135</v>
      </c>
      <c r="G19" s="11">
        <f>МДанные!F19*МДанные!$D$77</f>
        <v>3.04</v>
      </c>
      <c r="H19" s="12">
        <f>D19*F19</f>
        <v>0</v>
      </c>
      <c r="I19" s="11">
        <f>D19</f>
        <v>0</v>
      </c>
      <c r="J19" s="12">
        <f t="shared" si="1"/>
        <v>0</v>
      </c>
      <c r="K19" s="13" t="str">
        <f>МДанные!D135</f>
        <v>НЕТ</v>
      </c>
      <c r="L19" s="18"/>
      <c r="M19" s="1"/>
      <c r="N19" s="1"/>
      <c r="O19" s="1"/>
      <c r="P19" s="1"/>
      <c r="Q19" s="1"/>
      <c r="R19" s="1"/>
      <c r="S19" s="1"/>
      <c r="T19" s="1"/>
      <c r="U19" s="1"/>
      <c r="V19" s="1"/>
      <c r="W19" s="44"/>
      <c r="X19" s="3"/>
      <c r="Y19" s="3"/>
      <c r="Z19" s="3"/>
    </row>
    <row r="20" spans="1:26" x14ac:dyDescent="0.25">
      <c r="A20" s="3"/>
      <c r="B20" s="463" t="s">
        <v>16</v>
      </c>
      <c r="C20" s="464"/>
      <c r="D20" s="36">
        <v>0</v>
      </c>
      <c r="E20" s="373">
        <f>MAX(0,MIN(МДанные!AG20,МДанные!AH20,МДанные!AI20))+D20</f>
        <v>99</v>
      </c>
      <c r="F20" s="8">
        <f>МДанные!E20*МДанные!$D$77</f>
        <v>0.437</v>
      </c>
      <c r="G20" s="8">
        <f>МДанные!F20*МДанные!$D$77</f>
        <v>0</v>
      </c>
      <c r="H20" s="9">
        <f>F20*D20+МДанные!J20*МДанные!W20</f>
        <v>0</v>
      </c>
      <c r="I20" s="8">
        <v>0</v>
      </c>
      <c r="J20" s="9">
        <f t="shared" si="1"/>
        <v>0</v>
      </c>
      <c r="K20" s="39">
        <v>0</v>
      </c>
      <c r="L20" s="18"/>
      <c r="M20" s="1"/>
      <c r="N20" s="1"/>
      <c r="O20" s="1"/>
      <c r="P20" s="1"/>
      <c r="Q20" s="1"/>
      <c r="R20" s="1"/>
      <c r="S20" s="1"/>
      <c r="T20" s="1"/>
      <c r="U20" s="1"/>
      <c r="V20" s="1"/>
      <c r="W20" s="44"/>
      <c r="X20" s="3"/>
      <c r="Y20" s="3"/>
      <c r="Z20" s="3"/>
    </row>
    <row r="21" spans="1:26" x14ac:dyDescent="0.25">
      <c r="A21" s="3"/>
      <c r="B21" s="461" t="s">
        <v>17</v>
      </c>
      <c r="C21" s="462"/>
      <c r="D21" s="36">
        <v>0</v>
      </c>
      <c r="E21" s="374">
        <f>MAX(0,MIN(МДанные!AG21,МДанные!AH21,МДанные!AI21))+D21</f>
        <v>49</v>
      </c>
      <c r="F21" s="11">
        <f>МДанные!E21*МДанные!$D$77</f>
        <v>0.66499999999999992</v>
      </c>
      <c r="G21" s="11">
        <f>МДанные!F21*МДанные!$D$77</f>
        <v>0</v>
      </c>
      <c r="H21" s="12">
        <f>F21*D21+МДанные!J21*МДанные!W21</f>
        <v>0</v>
      </c>
      <c r="I21" s="11">
        <v>0</v>
      </c>
      <c r="J21" s="12">
        <f t="shared" si="1"/>
        <v>0</v>
      </c>
      <c r="K21" s="39">
        <v>0</v>
      </c>
      <c r="L21" s="18"/>
      <c r="M21" s="1"/>
      <c r="N21" s="1"/>
      <c r="O21" s="1"/>
      <c r="P21" s="1"/>
      <c r="Q21" s="1"/>
      <c r="R21" s="1"/>
      <c r="S21" s="1"/>
      <c r="T21" s="1"/>
      <c r="U21" s="1"/>
      <c r="V21" s="1"/>
      <c r="W21" s="44"/>
      <c r="X21" s="3"/>
      <c r="Y21" s="3"/>
      <c r="Z21" s="3"/>
    </row>
    <row r="22" spans="1:26" x14ac:dyDescent="0.25">
      <c r="A22" s="3"/>
      <c r="B22" s="463" t="s">
        <v>18</v>
      </c>
      <c r="C22" s="464"/>
      <c r="D22" s="36">
        <v>0</v>
      </c>
      <c r="E22" s="373">
        <f>MAX(0,MIN(МДанные!AG22,МДанные!AH22,МДанные!AI22))+D22</f>
        <v>49</v>
      </c>
      <c r="F22" s="8">
        <f>МДанные!E22*МДанные!$D$77</f>
        <v>0.66499999999999992</v>
      </c>
      <c r="G22" s="8">
        <f>МДанные!F22*МДанные!$D$77</f>
        <v>0</v>
      </c>
      <c r="H22" s="9">
        <f>F22*D22+МДанные!J22*МДанные!W22</f>
        <v>0</v>
      </c>
      <c r="I22" s="8">
        <v>0</v>
      </c>
      <c r="J22" s="9">
        <f t="shared" si="1"/>
        <v>0</v>
      </c>
      <c r="K22" s="40">
        <v>0</v>
      </c>
      <c r="L22" s="152"/>
      <c r="M22" s="1"/>
      <c r="N22" s="1"/>
      <c r="O22" s="1"/>
      <c r="P22" s="1"/>
      <c r="Q22" s="1"/>
      <c r="R22" s="1"/>
      <c r="S22" s="1"/>
      <c r="T22" s="1"/>
      <c r="U22" s="1"/>
      <c r="V22" s="1"/>
      <c r="W22" s="44"/>
      <c r="X22" s="3"/>
      <c r="Y22" s="3"/>
      <c r="Z22" s="3"/>
    </row>
    <row r="23" spans="1:26" ht="15.75" x14ac:dyDescent="0.25">
      <c r="A23" s="3"/>
      <c r="B23" s="472" t="s">
        <v>19</v>
      </c>
      <c r="C23" s="473"/>
      <c r="D23" s="473"/>
      <c r="E23" s="473"/>
      <c r="F23" s="473"/>
      <c r="G23" s="473"/>
      <c r="H23" s="473"/>
      <c r="I23" s="473"/>
      <c r="J23" s="26"/>
      <c r="K23" s="382"/>
      <c r="L23" s="19"/>
      <c r="M23" s="1"/>
      <c r="N23" s="1"/>
      <c r="O23" s="1"/>
      <c r="P23" s="1"/>
      <c r="Q23" s="1"/>
      <c r="R23" s="1"/>
      <c r="S23" s="1"/>
      <c r="T23" s="1"/>
      <c r="U23" s="1"/>
      <c r="V23" s="1"/>
      <c r="W23" s="44"/>
      <c r="X23" s="3"/>
      <c r="Y23" s="3"/>
      <c r="Z23" s="3"/>
    </row>
    <row r="24" spans="1:26" x14ac:dyDescent="0.25">
      <c r="A24" s="3"/>
      <c r="B24" s="461" t="s">
        <v>20</v>
      </c>
      <c r="C24" s="462"/>
      <c r="D24" s="36">
        <v>0</v>
      </c>
      <c r="E24" s="374">
        <f>MAX(0,MIN(МДанные!AG24,МДанные!AH24,МДанные!AI24))+D24</f>
        <v>159</v>
      </c>
      <c r="F24" s="11">
        <f>МДанные!E24*МДанные!$D$77</f>
        <v>0.627</v>
      </c>
      <c r="G24" s="11">
        <f>МДанные!F24*МДанные!$D$77</f>
        <v>1.71</v>
      </c>
      <c r="H24" s="12">
        <f t="shared" ref="H24:H29" si="2">D24*F24</f>
        <v>0</v>
      </c>
      <c r="I24" s="11">
        <f>IF(D24&gt;МДанные!$D$82-МДанные!Q24,МДанные!$D$82-МДанные!Q24,D24)</f>
        <v>0</v>
      </c>
      <c r="J24" s="12">
        <f t="shared" ref="J24:J35" si="3">I24*G24</f>
        <v>0</v>
      </c>
      <c r="K24" s="15" t="str">
        <f>МДанные!D135</f>
        <v>НЕТ</v>
      </c>
      <c r="L24" s="17"/>
      <c r="M24" s="1"/>
      <c r="N24" s="1"/>
      <c r="O24" s="1"/>
      <c r="P24" s="1"/>
      <c r="Q24" s="1"/>
      <c r="R24" s="1"/>
      <c r="S24" s="1"/>
      <c r="T24" s="1"/>
      <c r="U24" s="1"/>
      <c r="V24" s="1"/>
      <c r="W24" s="44"/>
      <c r="X24" s="3"/>
      <c r="Y24" s="3"/>
      <c r="Z24" s="3"/>
    </row>
    <row r="25" spans="1:26" x14ac:dyDescent="0.25">
      <c r="A25" s="3"/>
      <c r="B25" s="463" t="s">
        <v>21</v>
      </c>
      <c r="C25" s="464"/>
      <c r="D25" s="36">
        <v>0</v>
      </c>
      <c r="E25" s="373">
        <f>MAX(0,MIN(МДанные!AG25,МДанные!AH25,МДанные!AI25))+D25</f>
        <v>0</v>
      </c>
      <c r="F25" s="8">
        <f>(МДанные!E25+МДанные!J25)*МДанные!$D$77</f>
        <v>0.67449999999999999</v>
      </c>
      <c r="G25" s="8">
        <f>МДанные!F25*МДанные!$D$77</f>
        <v>1.71</v>
      </c>
      <c r="H25" s="9">
        <f t="shared" si="2"/>
        <v>0</v>
      </c>
      <c r="I25" s="8">
        <f>IF(D25&gt;МДанные!$D$82-МДанные!Q25,МДанные!$D$82-МДанные!Q25,D25)</f>
        <v>0</v>
      </c>
      <c r="J25" s="9">
        <f t="shared" si="3"/>
        <v>0</v>
      </c>
      <c r="K25" s="14">
        <f>D25</f>
        <v>0</v>
      </c>
      <c r="L25" s="18"/>
      <c r="M25" s="1"/>
      <c r="N25" s="1"/>
      <c r="O25" s="1"/>
      <c r="P25" s="1"/>
      <c r="Q25" s="1"/>
      <c r="R25" s="1"/>
      <c r="S25" s="1"/>
      <c r="T25" s="1"/>
      <c r="U25" s="1"/>
      <c r="V25" s="1"/>
      <c r="W25" s="44"/>
      <c r="X25" s="3"/>
      <c r="Y25" s="3"/>
      <c r="Z25" s="3"/>
    </row>
    <row r="26" spans="1:26" x14ac:dyDescent="0.25">
      <c r="A26" s="3"/>
      <c r="B26" s="461" t="s">
        <v>22</v>
      </c>
      <c r="C26" s="462"/>
      <c r="D26" s="36">
        <v>0</v>
      </c>
      <c r="E26" s="374">
        <f>MAX(0,MIN(МДанные!AG26,МДанные!AH26,МДанные!AI26))+D26</f>
        <v>159</v>
      </c>
      <c r="F26" s="11">
        <f>МДанные!E26*МДанные!$D$77</f>
        <v>0.627</v>
      </c>
      <c r="G26" s="11">
        <f>МДанные!F26*МДанные!$D$77</f>
        <v>1.71</v>
      </c>
      <c r="H26" s="12">
        <f t="shared" si="2"/>
        <v>0</v>
      </c>
      <c r="I26" s="11">
        <f>IF(D26&gt;МДанные!$D$82-МДанные!Q26,МДанные!$D$82-МДанные!Q26,D26)</f>
        <v>0</v>
      </c>
      <c r="J26" s="12">
        <f t="shared" si="3"/>
        <v>0</v>
      </c>
      <c r="K26" s="15" t="str">
        <f>МДанные!D135</f>
        <v>НЕТ</v>
      </c>
      <c r="L26" s="18"/>
      <c r="M26" s="1"/>
      <c r="N26" s="1"/>
      <c r="O26" s="1"/>
      <c r="P26" s="1"/>
      <c r="Q26" s="1"/>
      <c r="R26" s="1"/>
      <c r="S26" s="1"/>
      <c r="T26" s="1"/>
      <c r="U26" s="1"/>
      <c r="V26" s="1"/>
      <c r="W26" s="44"/>
      <c r="X26" s="3"/>
      <c r="Y26" s="3"/>
      <c r="Z26" s="3"/>
    </row>
    <row r="27" spans="1:26" x14ac:dyDescent="0.25">
      <c r="A27" s="3"/>
      <c r="B27" s="463" t="s">
        <v>23</v>
      </c>
      <c r="C27" s="464"/>
      <c r="D27" s="36">
        <v>0</v>
      </c>
      <c r="E27" s="373">
        <f>MAX(0,MIN(МДанные!AG27,МДанные!AH27,МДанные!AI27))+D27</f>
        <v>0</v>
      </c>
      <c r="F27" s="8">
        <f>(МДанные!E27+МДанные!J27)*МДанные!$D$77</f>
        <v>0.67449999999999999</v>
      </c>
      <c r="G27" s="8">
        <f>МДанные!F27*МДанные!$D$77</f>
        <v>1.71</v>
      </c>
      <c r="H27" s="9">
        <f t="shared" si="2"/>
        <v>0</v>
      </c>
      <c r="I27" s="8">
        <f>IF(D27&gt;МДанные!$D$82-МДанные!Q27,МДанные!$D$82-МДанные!Q27,D27)</f>
        <v>0</v>
      </c>
      <c r="J27" s="9">
        <f t="shared" si="3"/>
        <v>0</v>
      </c>
      <c r="K27" s="14">
        <f>D27</f>
        <v>0</v>
      </c>
      <c r="L27" s="18"/>
      <c r="M27" s="1"/>
      <c r="N27" s="1"/>
      <c r="O27" s="1"/>
      <c r="P27" s="1"/>
      <c r="Q27" s="1"/>
      <c r="R27" s="1"/>
      <c r="S27" s="1"/>
      <c r="T27" s="1"/>
      <c r="U27" s="1"/>
      <c r="V27" s="1"/>
      <c r="W27" s="44"/>
      <c r="X27" s="3"/>
      <c r="Y27" s="3"/>
      <c r="Z27" s="3"/>
    </row>
    <row r="28" spans="1:26" x14ac:dyDescent="0.25">
      <c r="A28" s="3"/>
      <c r="B28" s="461" t="s">
        <v>24</v>
      </c>
      <c r="C28" s="462"/>
      <c r="D28" s="37">
        <v>0</v>
      </c>
      <c r="E28" s="374">
        <f>MAX(0,MIN(МДанные!AG28,МДанные!AH28,МДанные!AI28))+D28</f>
        <v>159</v>
      </c>
      <c r="F28" s="11">
        <f>МДанные!E28*МДанные!$D$77</f>
        <v>0.627</v>
      </c>
      <c r="G28" s="11">
        <f>МДанные!F28*МДанные!$D$77</f>
        <v>1.71</v>
      </c>
      <c r="H28" s="12">
        <f t="shared" si="2"/>
        <v>0</v>
      </c>
      <c r="I28" s="11">
        <f>IF(D28&gt;МДанные!$D$82-МДанные!Q28,МДанные!$D$82-МДанные!Q28,D28)</f>
        <v>0</v>
      </c>
      <c r="J28" s="12">
        <f t="shared" si="3"/>
        <v>0</v>
      </c>
      <c r="K28" s="15" t="str">
        <f>МДанные!D135</f>
        <v>НЕТ</v>
      </c>
      <c r="L28" s="18"/>
      <c r="M28" s="1"/>
      <c r="N28" s="1"/>
      <c r="O28" s="1"/>
      <c r="P28" s="1"/>
      <c r="Q28" s="1"/>
      <c r="R28" s="1"/>
      <c r="S28" s="1"/>
      <c r="T28" s="1"/>
      <c r="U28" s="1"/>
      <c r="V28" s="1"/>
      <c r="W28" s="44"/>
      <c r="X28" s="3"/>
      <c r="Y28" s="3"/>
      <c r="Z28" s="3"/>
    </row>
    <row r="29" spans="1:26" x14ac:dyDescent="0.25">
      <c r="A29" s="3"/>
      <c r="B29" s="463" t="s">
        <v>25</v>
      </c>
      <c r="C29" s="464"/>
      <c r="D29" s="36">
        <v>0</v>
      </c>
      <c r="E29" s="373">
        <f>MAX(0,MIN(МДанные!AG29,МДанные!AH29,МДанные!AI29))+D29</f>
        <v>0</v>
      </c>
      <c r="F29" s="8">
        <f>(МДанные!E29+МДанные!J29)*МДанные!$D$77</f>
        <v>0.67449999999999999</v>
      </c>
      <c r="G29" s="8">
        <f>МДанные!F29*МДанные!$D$77</f>
        <v>1.71</v>
      </c>
      <c r="H29" s="9">
        <f t="shared" si="2"/>
        <v>0</v>
      </c>
      <c r="I29" s="8">
        <f>IF(D29&gt;МДанные!$D$82-МДанные!Q29,МДанные!$D$82-МДанные!Q29,D29)</f>
        <v>0</v>
      </c>
      <c r="J29" s="9">
        <f t="shared" si="3"/>
        <v>0</v>
      </c>
      <c r="K29" s="14">
        <f>D29</f>
        <v>0</v>
      </c>
      <c r="L29" s="18"/>
      <c r="M29" s="1"/>
      <c r="N29" s="1"/>
      <c r="O29" s="1"/>
      <c r="P29" s="1"/>
      <c r="Q29" s="1"/>
      <c r="R29" s="1"/>
      <c r="S29" s="1"/>
      <c r="T29" s="1"/>
      <c r="U29" s="1"/>
      <c r="V29" s="1"/>
      <c r="W29" s="44"/>
      <c r="X29" s="3"/>
      <c r="Y29" s="3"/>
      <c r="Z29" s="3"/>
    </row>
    <row r="30" spans="1:26" x14ac:dyDescent="0.25">
      <c r="A30" s="3"/>
      <c r="B30" s="461" t="s">
        <v>26</v>
      </c>
      <c r="C30" s="462"/>
      <c r="D30" s="36">
        <v>0</v>
      </c>
      <c r="E30" s="374">
        <f>MAX(0,MIN(МДанные!AG30,МДанные!AH30,МДанные!AI30))+D30</f>
        <v>159</v>
      </c>
      <c r="F30" s="11">
        <f>МДанные!E30*МДанные!$D$77</f>
        <v>0.43224999999999997</v>
      </c>
      <c r="G30" s="11">
        <f>МДанные!F30*МДанные!$D$77</f>
        <v>1.9</v>
      </c>
      <c r="H30" s="12">
        <f>F30*D30+МДанные!J30*МДанные!W30</f>
        <v>0</v>
      </c>
      <c r="I30" s="11">
        <f>IF(D30&gt;МДанные!$D$82-МДанные!Q30,МДанные!$D$82-МДанные!Q30,D30)</f>
        <v>0</v>
      </c>
      <c r="J30" s="12">
        <f t="shared" si="3"/>
        <v>0</v>
      </c>
      <c r="K30" s="39">
        <v>0</v>
      </c>
      <c r="L30" s="161">
        <f>ШДанные!C23</f>
        <v>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44"/>
      <c r="X30" s="3"/>
      <c r="Y30" s="3"/>
      <c r="Z30" s="3"/>
    </row>
    <row r="31" spans="1:26" x14ac:dyDescent="0.25">
      <c r="A31" s="3"/>
      <c r="B31" s="463" t="s">
        <v>27</v>
      </c>
      <c r="C31" s="464"/>
      <c r="D31" s="36">
        <v>0</v>
      </c>
      <c r="E31" s="373">
        <f>MAX(0,MIN(МДанные!AG31,МДанные!AH31,МДанные!AI31))+D31</f>
        <v>159</v>
      </c>
      <c r="F31" s="8">
        <f>МДанные!E31*МДанные!$D$77</f>
        <v>0.48449999999999999</v>
      </c>
      <c r="G31" s="8">
        <f>МДанные!F31*МДанные!$D$77</f>
        <v>1.9</v>
      </c>
      <c r="H31" s="9">
        <f>F31*D31+МДанные!J31*МДанные!W31</f>
        <v>0</v>
      </c>
      <c r="I31" s="8">
        <f>IF(D31&gt;МДанные!$D$82-МДанные!Q31,МДанные!$D$82-МДанные!Q31,D31)</f>
        <v>0</v>
      </c>
      <c r="J31" s="9">
        <f t="shared" si="3"/>
        <v>0</v>
      </c>
      <c r="K31" s="39">
        <v>0</v>
      </c>
      <c r="L31" s="163">
        <f>ШДанные!D23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44"/>
      <c r="X31" s="3"/>
      <c r="Y31" s="3"/>
      <c r="Z31" s="3"/>
    </row>
    <row r="32" spans="1:26" x14ac:dyDescent="0.25">
      <c r="A32" s="3"/>
      <c r="B32" s="461" t="s">
        <v>28</v>
      </c>
      <c r="C32" s="462"/>
      <c r="D32" s="36">
        <v>0</v>
      </c>
      <c r="E32" s="374">
        <f>MAX(0,MIN(МДанные!AG32,МДанные!AH32,МДанные!AI32))+D32</f>
        <v>159</v>
      </c>
      <c r="F32" s="11">
        <f>МДанные!E32*МДанные!$D$77</f>
        <v>0.48449999999999999</v>
      </c>
      <c r="G32" s="11">
        <f>МДанные!F32*МДанные!$D$77</f>
        <v>1.9</v>
      </c>
      <c r="H32" s="12">
        <f>F32*D32+МДанные!J32*МДанные!W32</f>
        <v>0</v>
      </c>
      <c r="I32" s="11">
        <f>IF(D32&gt;МДанные!$D$82-МДанные!Q32,МДанные!$D$82-МДанные!Q32,D32)</f>
        <v>0</v>
      </c>
      <c r="J32" s="12">
        <f t="shared" si="3"/>
        <v>0</v>
      </c>
      <c r="K32" s="39">
        <v>0</v>
      </c>
      <c r="L32" s="161">
        <f>ШДанные!E23</f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44"/>
      <c r="X32" s="3"/>
      <c r="Y32" s="3"/>
      <c r="Z32" s="3"/>
    </row>
    <row r="33" spans="1:26" x14ac:dyDescent="0.25">
      <c r="A33" s="3"/>
      <c r="B33" s="463" t="s">
        <v>29</v>
      </c>
      <c r="C33" s="464"/>
      <c r="D33" s="36">
        <v>0</v>
      </c>
      <c r="E33" s="373">
        <f>MAX(0,MIN(МДанные!AG33,МДанные!AH33,МДанные!AI33))+D33</f>
        <v>79</v>
      </c>
      <c r="F33" s="8">
        <f>МДанные!E33*МДанные!$D$77</f>
        <v>0.56999999999999995</v>
      </c>
      <c r="G33" s="8">
        <f>МДанные!F33*МДанные!$D$77</f>
        <v>1.9</v>
      </c>
      <c r="H33" s="9">
        <f>F33*D33+МДанные!J33*МДанные!W33</f>
        <v>0</v>
      </c>
      <c r="I33" s="8">
        <f>IF(D33*2&gt;МДанные!$D$82-МДанные!Q33,МДанные!$D$82-МДанные!Q33,D33*2)</f>
        <v>0</v>
      </c>
      <c r="J33" s="9">
        <f t="shared" si="3"/>
        <v>0</v>
      </c>
      <c r="K33" s="39">
        <v>0</v>
      </c>
      <c r="L33" s="163">
        <f>ШДанные!F23</f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44"/>
      <c r="X33" s="3"/>
      <c r="Y33" s="3"/>
      <c r="Z33" s="3"/>
    </row>
    <row r="34" spans="1:26" x14ac:dyDescent="0.25">
      <c r="A34" s="3"/>
      <c r="B34" s="461" t="s">
        <v>30</v>
      </c>
      <c r="C34" s="462"/>
      <c r="D34" s="36">
        <v>0</v>
      </c>
      <c r="E34" s="374">
        <f>MAX(0,MIN(МДанные!AG34,МДанные!AH34,МДанные!AI34))+D34</f>
        <v>53</v>
      </c>
      <c r="F34" s="11">
        <f>МДанные!E34*МДанные!$D$77</f>
        <v>0.627</v>
      </c>
      <c r="G34" s="11">
        <f>МДанные!F34*МДанные!$D$77</f>
        <v>1.9</v>
      </c>
      <c r="H34" s="12">
        <f>F34*D34+МДанные!J34*МДанные!W34</f>
        <v>0</v>
      </c>
      <c r="I34" s="11">
        <f>IF(D34*3&gt;МДанные!$D$82-МДанные!Q34,МДанные!$D$82-МДанные!Q34,D34*3)</f>
        <v>0</v>
      </c>
      <c r="J34" s="12">
        <f t="shared" si="3"/>
        <v>0</v>
      </c>
      <c r="K34" s="40">
        <v>0</v>
      </c>
      <c r="L34" s="161">
        <f>ШДанные!G23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44"/>
      <c r="X34" s="3"/>
      <c r="Y34" s="3"/>
      <c r="Z34" s="3"/>
    </row>
    <row r="35" spans="1:26" x14ac:dyDescent="0.25">
      <c r="A35" s="3"/>
      <c r="B35" s="463" t="s">
        <v>628</v>
      </c>
      <c r="C35" s="464"/>
      <c r="D35" s="36">
        <v>0</v>
      </c>
      <c r="E35" s="373">
        <f>MAX(0,MIN(МДанные!AG35,МДанные!AH35,МДанные!AI35))+D35</f>
        <v>159</v>
      </c>
      <c r="F35" s="8">
        <f>МДанные!E35*МДанные!$D$77</f>
        <v>0.47499999999999998</v>
      </c>
      <c r="G35" s="8">
        <f>МДанные!F35*МДанные!$D$77</f>
        <v>1.9</v>
      </c>
      <c r="H35" s="9">
        <f>F35*D35+МДанные!J35*МДанные!W35</f>
        <v>0</v>
      </c>
      <c r="I35" s="8">
        <f>IF(D35&gt;МДанные!$D$82-МДанные!Q35,МДанные!$D$82-МДанные!Q35,D35)</f>
        <v>0</v>
      </c>
      <c r="J35" s="9">
        <f t="shared" si="3"/>
        <v>0</v>
      </c>
      <c r="K35" s="39">
        <v>0</v>
      </c>
      <c r="L35" s="163">
        <f>ШДанные!H23</f>
        <v>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44"/>
      <c r="X35" s="3"/>
      <c r="Y35" s="3"/>
      <c r="Z35" s="3"/>
    </row>
    <row r="36" spans="1:26" x14ac:dyDescent="0.25">
      <c r="A36" s="3"/>
      <c r="B36" s="463" t="s">
        <v>629</v>
      </c>
      <c r="C36" s="464"/>
      <c r="D36" s="36">
        <v>0</v>
      </c>
      <c r="E36" s="373">
        <f>MAX(0,MIN(МДанные!AG36,МДанные!AH36,МДанные!AI36))+D36</f>
        <v>6</v>
      </c>
      <c r="F36" s="8">
        <f>МДанные!$D$77*(МДанные!E36+МДанные!D$87)</f>
        <v>8.0749999999999993</v>
      </c>
      <c r="G36" s="8">
        <f>МДанные!$D$77*(МДанные!F36+МДанные!E$87)</f>
        <v>25.65</v>
      </c>
      <c r="H36" s="9">
        <f>F36*D36+МДанные!J36*МДанные!W36</f>
        <v>0</v>
      </c>
      <c r="I36" s="8">
        <f>IF(D36&gt;МДанные!$D$82-МДанные!Q36,МДанные!$D$82-МДанные!Q36,D36)</f>
        <v>0</v>
      </c>
      <c r="J36" s="9">
        <f>МДанные!$D$77*(I36*МДанные!F36+МДанные!E$87*D36)</f>
        <v>0</v>
      </c>
      <c r="K36" s="39">
        <v>0</v>
      </c>
      <c r="L36" s="186"/>
      <c r="M36" s="1"/>
      <c r="N36" s="1"/>
      <c r="O36" s="1"/>
      <c r="P36" s="1"/>
      <c r="Q36" s="1"/>
      <c r="R36" s="1"/>
      <c r="S36" s="1"/>
      <c r="T36" s="1"/>
      <c r="U36" s="1"/>
      <c r="V36" s="1"/>
      <c r="W36" s="44"/>
      <c r="X36" s="3"/>
      <c r="Y36" s="3"/>
      <c r="Z36" s="3"/>
    </row>
    <row r="37" spans="1:26" x14ac:dyDescent="0.25">
      <c r="A37" s="3"/>
      <c r="B37" s="461" t="s">
        <v>375</v>
      </c>
      <c r="C37" s="462"/>
      <c r="D37" s="36">
        <v>0</v>
      </c>
      <c r="E37" s="374">
        <f>MAX(0,MIN(МДанные!AG37,МДанные!AH37,МДанные!AI37))+D37</f>
        <v>31</v>
      </c>
      <c r="F37" s="11">
        <f>(МДанные!E37+МДанные!D90)*МДанные!$D$77</f>
        <v>2.2800000000000002</v>
      </c>
      <c r="G37" s="11">
        <f>МДанные!F37*МДанные!$D$77</f>
        <v>0</v>
      </c>
      <c r="H37" s="12">
        <f>D37*F37</f>
        <v>0</v>
      </c>
      <c r="I37" s="11">
        <v>0</v>
      </c>
      <c r="J37" s="12">
        <f>I37*G37</f>
        <v>0</v>
      </c>
      <c r="K37" s="15" t="str">
        <f>МДанные!D135</f>
        <v>НЕТ</v>
      </c>
      <c r="L37" s="152"/>
      <c r="M37" s="1"/>
      <c r="N37" s="1"/>
      <c r="O37" s="1"/>
      <c r="P37" s="1"/>
      <c r="Q37" s="1"/>
      <c r="R37" s="1"/>
      <c r="S37" s="1"/>
      <c r="T37" s="1"/>
      <c r="U37" s="1"/>
      <c r="V37" s="1"/>
      <c r="W37" s="44"/>
      <c r="X37" s="3"/>
      <c r="Y37" s="3"/>
      <c r="Z37" s="3"/>
    </row>
    <row r="38" spans="1:26" ht="15.75" x14ac:dyDescent="0.25">
      <c r="A38" s="3"/>
      <c r="B38" s="466" t="s">
        <v>31</v>
      </c>
      <c r="C38" s="467"/>
      <c r="D38" s="467"/>
      <c r="E38" s="467"/>
      <c r="F38" s="467"/>
      <c r="G38" s="467"/>
      <c r="H38" s="467"/>
      <c r="I38" s="467"/>
      <c r="J38" s="16"/>
      <c r="K38" s="383"/>
      <c r="L38" s="19"/>
      <c r="M38" s="1"/>
      <c r="N38" s="1"/>
      <c r="O38" s="1"/>
      <c r="P38" s="1"/>
      <c r="Q38" s="1"/>
      <c r="R38" s="1"/>
      <c r="S38" s="1"/>
      <c r="T38" s="1"/>
      <c r="U38" s="1"/>
      <c r="V38" s="1"/>
      <c r="W38" s="44"/>
      <c r="X38" s="3"/>
      <c r="Y38" s="3"/>
      <c r="Z38" s="3"/>
    </row>
    <row r="39" spans="1:26" x14ac:dyDescent="0.25">
      <c r="A39" s="3"/>
      <c r="B39" s="485" t="s">
        <v>428</v>
      </c>
      <c r="C39" s="486"/>
      <c r="D39" s="36">
        <v>0</v>
      </c>
      <c r="E39" s="373">
        <f>MAX(0,MIN(МДанные!AG39,МДанные!AH39,МДанные!AI39))+D39</f>
        <v>82</v>
      </c>
      <c r="F39" s="8">
        <f>МДанные!E39*МДанные!$D$77</f>
        <v>0.30399999999999999</v>
      </c>
      <c r="G39" s="8">
        <f>МДанные!G39*МДанные!$D$77</f>
        <v>2.375</v>
      </c>
      <c r="H39" s="9">
        <f t="shared" ref="H39:H55" si="4">D39*F39</f>
        <v>0</v>
      </c>
      <c r="I39" s="8">
        <f t="shared" ref="I39:I55" si="5">D39</f>
        <v>0</v>
      </c>
      <c r="J39" s="9">
        <f>I39*G39</f>
        <v>0</v>
      </c>
      <c r="K39" s="10" t="str">
        <f>МДанные!$D$135</f>
        <v>НЕТ</v>
      </c>
      <c r="L39" s="41" t="s">
        <v>131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44"/>
      <c r="X39" s="3"/>
      <c r="Y39" s="3"/>
      <c r="Z39" s="3"/>
    </row>
    <row r="40" spans="1:26" x14ac:dyDescent="0.25">
      <c r="A40" s="3"/>
      <c r="B40" s="485" t="s">
        <v>429</v>
      </c>
      <c r="C40" s="486"/>
      <c r="D40" s="36">
        <v>0</v>
      </c>
      <c r="E40" s="373">
        <f>MAX(0,MIN(МДанные!AG40,МДанные!AH40,МДанные!AI40))+D40</f>
        <v>36</v>
      </c>
      <c r="F40" s="8">
        <f>МДанные!E40*МДанные!$D$77</f>
        <v>0.30399999999999999</v>
      </c>
      <c r="G40" s="8">
        <f>МДанные!G40*МДанные!$D$77</f>
        <v>5.6999999999999993</v>
      </c>
      <c r="H40" s="9">
        <f t="shared" si="4"/>
        <v>0</v>
      </c>
      <c r="I40" s="8">
        <f t="shared" si="5"/>
        <v>0</v>
      </c>
      <c r="J40" s="9">
        <f t="shared" ref="J40:J54" si="6">I40*G40</f>
        <v>0</v>
      </c>
      <c r="K40" s="10" t="str">
        <f>МДанные!$D$135</f>
        <v>НЕТ</v>
      </c>
      <c r="L40" s="41" t="s">
        <v>99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44"/>
      <c r="X40" s="3"/>
      <c r="Y40" s="3"/>
      <c r="Z40" s="3"/>
    </row>
    <row r="41" spans="1:26" x14ac:dyDescent="0.25">
      <c r="A41" s="3"/>
      <c r="B41" s="461" t="s">
        <v>430</v>
      </c>
      <c r="C41" s="462"/>
      <c r="D41" s="36">
        <v>0</v>
      </c>
      <c r="E41" s="374">
        <f>MAX(0,MIN(МДанные!AG41,МДанные!AH41,МДанные!AI41))+D41</f>
        <v>0</v>
      </c>
      <c r="F41" s="11">
        <f>(МДанные!E41+МДанные!J41)*МДанные!$D$77</f>
        <v>0.48449999999999999</v>
      </c>
      <c r="G41" s="11">
        <f>МДанные!G41*МДанные!$D$77</f>
        <v>2.375</v>
      </c>
      <c r="H41" s="12">
        <f t="shared" si="4"/>
        <v>0</v>
      </c>
      <c r="I41" s="11">
        <f t="shared" si="5"/>
        <v>0</v>
      </c>
      <c r="J41" s="12">
        <f t="shared" si="6"/>
        <v>0</v>
      </c>
      <c r="K41" s="13">
        <f>D41</f>
        <v>0</v>
      </c>
      <c r="L41" s="41" t="s">
        <v>131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44"/>
      <c r="X41" s="3"/>
      <c r="Y41" s="3"/>
      <c r="Z41" s="3"/>
    </row>
    <row r="42" spans="1:26" x14ac:dyDescent="0.25">
      <c r="A42" s="3"/>
      <c r="B42" s="461" t="s">
        <v>431</v>
      </c>
      <c r="C42" s="462"/>
      <c r="D42" s="36">
        <v>0</v>
      </c>
      <c r="E42" s="374">
        <f>MAX(0,MIN(МДанные!AG42,МДанные!AH42,МДанные!AI42))+D42</f>
        <v>0</v>
      </c>
      <c r="F42" s="11">
        <f>(МДанные!E42+МДанные!J42)*МДанные!$D$77</f>
        <v>0.48449999999999999</v>
      </c>
      <c r="G42" s="11">
        <f>МДанные!G42*МДанные!$D$77</f>
        <v>5.6999999999999993</v>
      </c>
      <c r="H42" s="12">
        <f t="shared" si="4"/>
        <v>0</v>
      </c>
      <c r="I42" s="11">
        <f t="shared" si="5"/>
        <v>0</v>
      </c>
      <c r="J42" s="12">
        <f t="shared" si="6"/>
        <v>0</v>
      </c>
      <c r="K42" s="13">
        <f>D42</f>
        <v>0</v>
      </c>
      <c r="L42" s="41" t="s">
        <v>99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44"/>
      <c r="X42" s="3"/>
      <c r="Y42" s="3"/>
      <c r="Z42" s="3"/>
    </row>
    <row r="43" spans="1:26" x14ac:dyDescent="0.25">
      <c r="A43" s="3"/>
      <c r="B43" s="463" t="s">
        <v>432</v>
      </c>
      <c r="C43" s="464"/>
      <c r="D43" s="36">
        <v>0</v>
      </c>
      <c r="E43" s="373">
        <f>MAX(0,MIN(МДанные!AG43,МДанные!AH43,МДанные!AI43))+D43</f>
        <v>82</v>
      </c>
      <c r="F43" s="8">
        <f>МДанные!E43*МДанные!$D$77</f>
        <v>0.30399999999999999</v>
      </c>
      <c r="G43" s="8">
        <f>МДанные!G43*МДанные!$D$77</f>
        <v>2.375</v>
      </c>
      <c r="H43" s="9">
        <f t="shared" si="4"/>
        <v>0</v>
      </c>
      <c r="I43" s="8">
        <f t="shared" si="5"/>
        <v>0</v>
      </c>
      <c r="J43" s="9">
        <f t="shared" si="6"/>
        <v>0</v>
      </c>
      <c r="K43" s="10" t="str">
        <f>МДанные!$D$135</f>
        <v>НЕТ</v>
      </c>
      <c r="L43" s="41" t="s">
        <v>131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44"/>
      <c r="X43" s="3"/>
      <c r="Y43" s="3"/>
      <c r="Z43" s="3"/>
    </row>
    <row r="44" spans="1:26" x14ac:dyDescent="0.25">
      <c r="A44" s="3"/>
      <c r="B44" s="463" t="s">
        <v>433</v>
      </c>
      <c r="C44" s="464"/>
      <c r="D44" s="36">
        <v>0</v>
      </c>
      <c r="E44" s="373">
        <f>MAX(0,MIN(МДанные!AG44,МДанные!AH44,МДанные!AI44))+D44</f>
        <v>36</v>
      </c>
      <c r="F44" s="8">
        <f>МДанные!E44*МДанные!$D$77</f>
        <v>0.30399999999999999</v>
      </c>
      <c r="G44" s="8">
        <f>МДанные!G44*МДанные!$D$77</f>
        <v>5.6999999999999993</v>
      </c>
      <c r="H44" s="9">
        <f t="shared" si="4"/>
        <v>0</v>
      </c>
      <c r="I44" s="8">
        <f t="shared" si="5"/>
        <v>0</v>
      </c>
      <c r="J44" s="9">
        <f t="shared" si="6"/>
        <v>0</v>
      </c>
      <c r="K44" s="10" t="str">
        <f>МДанные!$D$135</f>
        <v>НЕТ</v>
      </c>
      <c r="L44" s="41" t="s">
        <v>99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44"/>
      <c r="X44" s="3"/>
      <c r="Y44" s="3"/>
      <c r="Z44" s="3"/>
    </row>
    <row r="45" spans="1:26" x14ac:dyDescent="0.25">
      <c r="A45" s="3"/>
      <c r="B45" s="461" t="s">
        <v>434</v>
      </c>
      <c r="C45" s="462"/>
      <c r="D45" s="36">
        <v>0</v>
      </c>
      <c r="E45" s="374">
        <f>MAX(0,MIN(МДанные!AG45,МДанные!AH45,МДанные!AI45))+D45</f>
        <v>0</v>
      </c>
      <c r="F45" s="11">
        <f>(МДанные!E45+МДанные!J45)*МДанные!$D$77</f>
        <v>0.48449999999999999</v>
      </c>
      <c r="G45" s="11">
        <f>МДанные!G45*МДанные!$D$77</f>
        <v>2.375</v>
      </c>
      <c r="H45" s="12">
        <f t="shared" si="4"/>
        <v>0</v>
      </c>
      <c r="I45" s="11">
        <f t="shared" si="5"/>
        <v>0</v>
      </c>
      <c r="J45" s="12">
        <f t="shared" si="6"/>
        <v>0</v>
      </c>
      <c r="K45" s="13">
        <f>D45</f>
        <v>0</v>
      </c>
      <c r="L45" s="41" t="s">
        <v>131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44"/>
      <c r="X45" s="3"/>
      <c r="Y45" s="3"/>
      <c r="Z45" s="3"/>
    </row>
    <row r="46" spans="1:26" x14ac:dyDescent="0.25">
      <c r="A46" s="3"/>
      <c r="B46" s="461" t="s">
        <v>435</v>
      </c>
      <c r="C46" s="462"/>
      <c r="D46" s="36">
        <v>0</v>
      </c>
      <c r="E46" s="374">
        <f>MAX(0,MIN(МДанные!AG46,МДанные!AH46,МДанные!AI46))+D46</f>
        <v>0</v>
      </c>
      <c r="F46" s="11">
        <f>(МДанные!E46+МДанные!J46)*МДанные!$D$77</f>
        <v>0.48449999999999999</v>
      </c>
      <c r="G46" s="11">
        <f>МДанные!G46*МДанные!$D$77</f>
        <v>5.6999999999999993</v>
      </c>
      <c r="H46" s="12">
        <f t="shared" si="4"/>
        <v>0</v>
      </c>
      <c r="I46" s="11">
        <f t="shared" si="5"/>
        <v>0</v>
      </c>
      <c r="J46" s="12">
        <f t="shared" si="6"/>
        <v>0</v>
      </c>
      <c r="K46" s="13">
        <f>D46</f>
        <v>0</v>
      </c>
      <c r="L46" s="41" t="s">
        <v>99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44"/>
      <c r="X46" s="3"/>
      <c r="Y46" s="3"/>
      <c r="Z46" s="3"/>
    </row>
    <row r="47" spans="1:26" x14ac:dyDescent="0.25">
      <c r="A47" s="3"/>
      <c r="B47" s="463" t="s">
        <v>436</v>
      </c>
      <c r="C47" s="464"/>
      <c r="D47" s="36">
        <v>0</v>
      </c>
      <c r="E47" s="373">
        <f>MAX(0,MIN(МДанные!AG47,МДанные!AH47,МДанные!AI47))+D47</f>
        <v>38</v>
      </c>
      <c r="F47" s="8">
        <f>МДанные!E47*МДанные!$D$77</f>
        <v>0.30399999999999999</v>
      </c>
      <c r="G47" s="8">
        <f>МДанные!G47*МДанные!$D$77</f>
        <v>5.51</v>
      </c>
      <c r="H47" s="9">
        <f t="shared" si="4"/>
        <v>0</v>
      </c>
      <c r="I47" s="8">
        <f t="shared" si="5"/>
        <v>0</v>
      </c>
      <c r="J47" s="9">
        <f t="shared" si="6"/>
        <v>0</v>
      </c>
      <c r="K47" s="10" t="str">
        <f>МДанные!$D$135</f>
        <v>НЕТ</v>
      </c>
      <c r="L47" s="41" t="s">
        <v>131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44"/>
      <c r="X47" s="3"/>
      <c r="Y47" s="3"/>
      <c r="Z47" s="3"/>
    </row>
    <row r="48" spans="1:26" x14ac:dyDescent="0.25">
      <c r="A48" s="3"/>
      <c r="B48" s="463" t="s">
        <v>437</v>
      </c>
      <c r="C48" s="464"/>
      <c r="D48" s="36">
        <v>0</v>
      </c>
      <c r="E48" s="373">
        <f>MAX(0,MIN(МДанные!AG48,МДанные!AH48,МДанные!AI48))+D48</f>
        <v>24</v>
      </c>
      <c r="F48" s="8">
        <f>МДанные!E48*МДанные!$D$77</f>
        <v>0.30399999999999999</v>
      </c>
      <c r="G48" s="8">
        <f>МДанные!G48*МДанные!$D$77</f>
        <v>8.8350000000000009</v>
      </c>
      <c r="H48" s="9">
        <f t="shared" si="4"/>
        <v>0</v>
      </c>
      <c r="I48" s="8">
        <f t="shared" si="5"/>
        <v>0</v>
      </c>
      <c r="J48" s="9">
        <f t="shared" si="6"/>
        <v>0</v>
      </c>
      <c r="K48" s="10" t="str">
        <f>МДанные!$D$135</f>
        <v>НЕТ</v>
      </c>
      <c r="L48" s="41" t="s">
        <v>99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44"/>
      <c r="X48" s="3"/>
      <c r="Y48" s="3"/>
      <c r="Z48" s="3"/>
    </row>
    <row r="49" spans="1:26" x14ac:dyDescent="0.25">
      <c r="A49" s="3"/>
      <c r="B49" s="461" t="s">
        <v>438</v>
      </c>
      <c r="C49" s="462"/>
      <c r="D49" s="36">
        <v>0</v>
      </c>
      <c r="E49" s="374">
        <f>MAX(0,MIN(МДанные!AG49,МДанные!AH49,МДанные!AI49))+D49</f>
        <v>0</v>
      </c>
      <c r="F49" s="11">
        <f>(МДанные!E49+МДанные!J49)*МДанные!$D$77</f>
        <v>0.48449999999999999</v>
      </c>
      <c r="G49" s="11">
        <f>МДанные!G49*МДанные!$D$77</f>
        <v>5.51</v>
      </c>
      <c r="H49" s="12">
        <f t="shared" si="4"/>
        <v>0</v>
      </c>
      <c r="I49" s="11">
        <f t="shared" si="5"/>
        <v>0</v>
      </c>
      <c r="J49" s="12">
        <f t="shared" si="6"/>
        <v>0</v>
      </c>
      <c r="K49" s="13">
        <f>D49</f>
        <v>0</v>
      </c>
      <c r="L49" s="41" t="s">
        <v>131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44"/>
      <c r="X49" s="3"/>
      <c r="Y49" s="3"/>
      <c r="Z49" s="3"/>
    </row>
    <row r="50" spans="1:26" x14ac:dyDescent="0.25">
      <c r="A50" s="3"/>
      <c r="B50" s="461" t="s">
        <v>439</v>
      </c>
      <c r="C50" s="462"/>
      <c r="D50" s="36">
        <v>0</v>
      </c>
      <c r="E50" s="374">
        <f>MAX(0,MIN(МДанные!AG50,МДанные!AH50,МДанные!AI50))+D50</f>
        <v>0</v>
      </c>
      <c r="F50" s="11">
        <f>(МДанные!E50+МДанные!J50)*МДанные!$D$77</f>
        <v>0.48449999999999999</v>
      </c>
      <c r="G50" s="11">
        <f>МДанные!G50*МДанные!$D$77</f>
        <v>8.8350000000000009</v>
      </c>
      <c r="H50" s="12">
        <f t="shared" si="4"/>
        <v>0</v>
      </c>
      <c r="I50" s="11">
        <f t="shared" si="5"/>
        <v>0</v>
      </c>
      <c r="J50" s="12">
        <f t="shared" si="6"/>
        <v>0</v>
      </c>
      <c r="K50" s="13">
        <f>D50</f>
        <v>0</v>
      </c>
      <c r="L50" s="41" t="s">
        <v>99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44"/>
      <c r="X50" s="3"/>
      <c r="Y50" s="3"/>
      <c r="Z50" s="3"/>
    </row>
    <row r="51" spans="1:26" x14ac:dyDescent="0.25">
      <c r="A51" s="3"/>
      <c r="B51" s="463" t="s">
        <v>440</v>
      </c>
      <c r="C51" s="464"/>
      <c r="D51" s="36">
        <v>0</v>
      </c>
      <c r="E51" s="373">
        <f>MAX(0,MIN(МДанные!AG51,МДанные!AH51,МДанные!AI51))+D51</f>
        <v>38</v>
      </c>
      <c r="F51" s="8">
        <f>МДанные!E51*МДанные!$D$77</f>
        <v>0.30399999999999999</v>
      </c>
      <c r="G51" s="8">
        <f>МДанные!G51*МДанные!$D$77</f>
        <v>5.51</v>
      </c>
      <c r="H51" s="9">
        <f t="shared" si="4"/>
        <v>0</v>
      </c>
      <c r="I51" s="8">
        <f t="shared" si="5"/>
        <v>0</v>
      </c>
      <c r="J51" s="9">
        <f t="shared" si="6"/>
        <v>0</v>
      </c>
      <c r="K51" s="10" t="str">
        <f>МДанные!$D$135</f>
        <v>НЕТ</v>
      </c>
      <c r="L51" s="41" t="s">
        <v>131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44"/>
      <c r="X51" s="3"/>
      <c r="Y51" s="3"/>
      <c r="Z51" s="3"/>
    </row>
    <row r="52" spans="1:26" x14ac:dyDescent="0.25">
      <c r="A52" s="3"/>
      <c r="B52" s="463" t="s">
        <v>441</v>
      </c>
      <c r="C52" s="464"/>
      <c r="D52" s="36">
        <v>0</v>
      </c>
      <c r="E52" s="373">
        <f>MAX(0,MIN(МДанные!AG52,МДанные!AH52,МДанные!AI52))+D52</f>
        <v>24</v>
      </c>
      <c r="F52" s="8">
        <f>МДанные!E52*МДанные!$D$77</f>
        <v>0.30399999999999999</v>
      </c>
      <c r="G52" s="8">
        <f>МДанные!G52*МДанные!$D$77</f>
        <v>8.8350000000000009</v>
      </c>
      <c r="H52" s="9">
        <f t="shared" si="4"/>
        <v>0</v>
      </c>
      <c r="I52" s="8">
        <f t="shared" si="5"/>
        <v>0</v>
      </c>
      <c r="J52" s="9">
        <f t="shared" si="6"/>
        <v>0</v>
      </c>
      <c r="K52" s="10" t="str">
        <f>МДанные!$D$135</f>
        <v>НЕТ</v>
      </c>
      <c r="L52" s="41" t="s">
        <v>99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44"/>
      <c r="X52" s="3"/>
      <c r="Y52" s="3"/>
      <c r="Z52" s="3"/>
    </row>
    <row r="53" spans="1:26" x14ac:dyDescent="0.25">
      <c r="A53" s="3"/>
      <c r="B53" s="483" t="s">
        <v>442</v>
      </c>
      <c r="C53" s="484"/>
      <c r="D53" s="36">
        <v>0</v>
      </c>
      <c r="E53" s="374">
        <f>MAX(0,MIN(МДанные!AG53,МДанные!AH53,МДанные!AI53))+D53</f>
        <v>0</v>
      </c>
      <c r="F53" s="11">
        <f>(МДанные!E53+МДанные!J53)*МДанные!$D$77</f>
        <v>0.48449999999999999</v>
      </c>
      <c r="G53" s="11">
        <f>МДанные!G53*МДанные!$D$77</f>
        <v>5.51</v>
      </c>
      <c r="H53" s="12">
        <f t="shared" si="4"/>
        <v>0</v>
      </c>
      <c r="I53" s="11">
        <f t="shared" si="5"/>
        <v>0</v>
      </c>
      <c r="J53" s="12">
        <f t="shared" si="6"/>
        <v>0</v>
      </c>
      <c r="K53" s="13">
        <f>D53</f>
        <v>0</v>
      </c>
      <c r="L53" s="41" t="s">
        <v>131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44"/>
      <c r="X53" s="3"/>
      <c r="Y53" s="3"/>
      <c r="Z53" s="3"/>
    </row>
    <row r="54" spans="1:26" x14ac:dyDescent="0.25">
      <c r="A54" s="3"/>
      <c r="B54" s="483" t="s">
        <v>443</v>
      </c>
      <c r="C54" s="484"/>
      <c r="D54" s="36">
        <v>0</v>
      </c>
      <c r="E54" s="374">
        <f>MAX(0,MIN(МДанные!AG54,МДанные!AH54,МДанные!AI54))+D54</f>
        <v>0</v>
      </c>
      <c r="F54" s="11">
        <f>(МДанные!E54+МДанные!J54)*МДанные!$D$77</f>
        <v>0.48449999999999999</v>
      </c>
      <c r="G54" s="11">
        <f>МДанные!G54*МДанные!$D$77</f>
        <v>8.8350000000000009</v>
      </c>
      <c r="H54" s="12">
        <f t="shared" si="4"/>
        <v>0</v>
      </c>
      <c r="I54" s="11">
        <f t="shared" si="5"/>
        <v>0</v>
      </c>
      <c r="J54" s="12">
        <f t="shared" si="6"/>
        <v>0</v>
      </c>
      <c r="K54" s="136">
        <f>D54</f>
        <v>0</v>
      </c>
      <c r="L54" s="134" t="s">
        <v>99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44"/>
      <c r="X54" s="3"/>
      <c r="Y54" s="3"/>
      <c r="Z54" s="3"/>
    </row>
    <row r="55" spans="1:26" x14ac:dyDescent="0.25">
      <c r="A55" s="3"/>
      <c r="B55" s="477" t="s">
        <v>32</v>
      </c>
      <c r="C55" s="478"/>
      <c r="D55" s="37">
        <v>0</v>
      </c>
      <c r="E55" s="373">
        <f>MAX(0,MIN(МДанные!AG55,МДанные!AH55,МДанные!AI55))+D55</f>
        <v>71</v>
      </c>
      <c r="F55" s="8">
        <f>МДанные!E55*МДанные!$D$77</f>
        <v>0.29449999999999998</v>
      </c>
      <c r="G55" s="8">
        <f>МДанные!F55*МДанные!$D$77</f>
        <v>2.8214999999999999</v>
      </c>
      <c r="H55" s="9">
        <f t="shared" si="4"/>
        <v>0</v>
      </c>
      <c r="I55" s="8">
        <f t="shared" si="5"/>
        <v>0</v>
      </c>
      <c r="J55" s="9">
        <f t="shared" ref="J55" si="7">I55*G55</f>
        <v>0</v>
      </c>
      <c r="K55" s="135" t="str">
        <f>МДанные!$D$135</f>
        <v>НЕТ</v>
      </c>
      <c r="L55" s="377"/>
      <c r="M55" s="1"/>
      <c r="N55" s="1"/>
      <c r="O55" s="1"/>
      <c r="P55" s="1"/>
      <c r="Q55" s="1"/>
      <c r="R55" s="1"/>
      <c r="S55" s="1"/>
      <c r="T55" s="1"/>
      <c r="U55" s="1"/>
      <c r="V55" s="1"/>
      <c r="W55" s="44"/>
      <c r="X55" s="3"/>
      <c r="Y55" s="3"/>
      <c r="Z55" s="3"/>
    </row>
    <row r="56" spans="1:26" ht="15.75" x14ac:dyDescent="0.25">
      <c r="A56" s="3"/>
      <c r="B56" s="470" t="s">
        <v>33</v>
      </c>
      <c r="C56" s="479"/>
      <c r="D56" s="479"/>
      <c r="E56" s="479"/>
      <c r="F56" s="479"/>
      <c r="G56" s="479"/>
      <c r="H56" s="479"/>
      <c r="I56" s="479"/>
      <c r="J56" s="20"/>
      <c r="K56" s="383"/>
      <c r="L56" s="19"/>
      <c r="M56" s="1"/>
      <c r="N56" s="1"/>
      <c r="O56" s="1"/>
      <c r="P56" s="1"/>
      <c r="Q56" s="1"/>
      <c r="R56" s="1"/>
      <c r="S56" s="1"/>
      <c r="T56" s="1"/>
      <c r="U56" s="1"/>
      <c r="V56" s="1"/>
      <c r="W56" s="44"/>
      <c r="X56" s="3"/>
      <c r="Y56" s="3"/>
      <c r="Z56" s="3"/>
    </row>
    <row r="57" spans="1:26" x14ac:dyDescent="0.25">
      <c r="A57" s="3"/>
      <c r="B57" s="461" t="s">
        <v>34</v>
      </c>
      <c r="C57" s="462"/>
      <c r="D57" s="36">
        <v>0</v>
      </c>
      <c r="E57" s="374">
        <f>MAX(0,MIN(МДанные!AG57,МДанные!AH57,МДанные!AI57))+D57</f>
        <v>0</v>
      </c>
      <c r="F57" s="11">
        <f>(МДанные!E57+МДанные!G57)*МДанные!$D$77</f>
        <v>9.5000000000000001E-2</v>
      </c>
      <c r="G57" s="11">
        <f>МДанные!F57*МДанные!$D$77</f>
        <v>1.9</v>
      </c>
      <c r="H57" s="12">
        <f>IF(D57&gt;SUM(D8:D17),SUM(D8:D17)*F57,D57*F57)</f>
        <v>0</v>
      </c>
      <c r="I57" s="11">
        <f>IF(D57&gt;SUM(I8:I17),SUM(I8:I17),D57)</f>
        <v>0</v>
      </c>
      <c r="J57" s="12">
        <f t="shared" ref="J57:J58" si="8">I57*G57</f>
        <v>0</v>
      </c>
      <c r="K57" s="21"/>
      <c r="L57" s="22"/>
      <c r="M57" s="1"/>
      <c r="N57" s="1"/>
      <c r="O57" s="1"/>
      <c r="P57" s="1"/>
      <c r="Q57" s="1"/>
      <c r="R57" s="1"/>
      <c r="S57" s="1"/>
      <c r="T57" s="1"/>
      <c r="U57" s="1"/>
      <c r="V57" s="1"/>
      <c r="W57" s="44"/>
      <c r="X57" s="3"/>
      <c r="Y57" s="3"/>
      <c r="Z57" s="3"/>
    </row>
    <row r="58" spans="1:26" x14ac:dyDescent="0.25">
      <c r="A58" s="3"/>
      <c r="B58" s="463" t="s">
        <v>84</v>
      </c>
      <c r="C58" s="464"/>
      <c r="D58" s="36">
        <v>0</v>
      </c>
      <c r="E58" s="373">
        <f>MAX(0,MIN(МДанные!AG58,МДанные!AH58,МДанные!AI58))+D58</f>
        <v>0</v>
      </c>
      <c r="F58" s="8">
        <f>МДанные!E61*МДанные!$D$77</f>
        <v>9.5000000000000001E-2</v>
      </c>
      <c r="G58" s="8">
        <f>МДанные!F61*МДанные!$D$77</f>
        <v>10.26</v>
      </c>
      <c r="H58" s="9">
        <f>IF(D58&gt;D18,D18*F58,D58*F58)</f>
        <v>0</v>
      </c>
      <c r="I58" s="8">
        <f>IF(D58&gt;I18,I18,D58)</f>
        <v>0</v>
      </c>
      <c r="J58" s="9">
        <f t="shared" si="8"/>
        <v>0</v>
      </c>
      <c r="K58" s="21"/>
      <c r="L58" s="22"/>
      <c r="M58" s="1"/>
      <c r="N58" s="1"/>
      <c r="O58" s="1"/>
      <c r="P58" s="1"/>
      <c r="Q58" s="1"/>
      <c r="R58" s="1"/>
      <c r="S58" s="1"/>
      <c r="T58" s="1"/>
      <c r="U58" s="1"/>
      <c r="V58" s="1"/>
      <c r="W58" s="44"/>
      <c r="X58" s="3"/>
      <c r="Y58" s="3"/>
      <c r="Z58" s="3"/>
    </row>
    <row r="59" spans="1:26" x14ac:dyDescent="0.25">
      <c r="A59" s="3"/>
      <c r="B59" s="480" t="s">
        <v>35</v>
      </c>
      <c r="C59" s="481"/>
      <c r="D59" s="36">
        <v>0</v>
      </c>
      <c r="E59" s="374">
        <f>MAX(0,MIN(МДанные!AG59,МДанные!AH59,МДанные!AI59))+D59</f>
        <v>18</v>
      </c>
      <c r="F59" s="11">
        <f>(МДанные!E65+МДанные!G65)*МДанные!$D$77</f>
        <v>7.1724999999999994</v>
      </c>
      <c r="G59" s="11">
        <f>МДанные!F65*МДанные!$D$77</f>
        <v>0</v>
      </c>
      <c r="H59" s="12">
        <f>D59*F59</f>
        <v>0</v>
      </c>
      <c r="I59" s="375">
        <v>0</v>
      </c>
      <c r="J59" s="12">
        <v>0</v>
      </c>
      <c r="K59" s="21"/>
      <c r="L59" s="22"/>
      <c r="M59" s="1"/>
      <c r="N59" s="1"/>
      <c r="O59" s="1"/>
      <c r="P59" s="1"/>
      <c r="Q59" s="1"/>
      <c r="R59" s="1"/>
      <c r="S59" s="1"/>
      <c r="T59" s="1"/>
      <c r="U59" s="1"/>
      <c r="V59" s="1"/>
      <c r="W59" s="44"/>
      <c r="X59" s="3"/>
      <c r="Y59" s="3"/>
      <c r="Z59" s="3"/>
    </row>
    <row r="60" spans="1:26" x14ac:dyDescent="0.25">
      <c r="A60" s="3"/>
      <c r="B60" s="476" t="s">
        <v>36</v>
      </c>
      <c r="C60" s="476"/>
      <c r="D60" s="8">
        <f>D59</f>
        <v>0</v>
      </c>
      <c r="E60" s="373">
        <f>MAX(0,MIN(МДанные!AG60,МДанные!AH60,МДанные!AI60))+D60</f>
        <v>18</v>
      </c>
      <c r="F60" s="8">
        <f>МДанные!E66*МДанные!$D$77</f>
        <v>1.4249999999999998</v>
      </c>
      <c r="G60" s="8">
        <f>МДанные!F66*МДанные!$D$77</f>
        <v>0</v>
      </c>
      <c r="H60" s="9">
        <f>D60*F60</f>
        <v>0</v>
      </c>
      <c r="I60" s="8">
        <v>0</v>
      </c>
      <c r="J60" s="9">
        <v>0</v>
      </c>
      <c r="K60" s="23"/>
      <c r="L60" s="24"/>
      <c r="M60" s="1"/>
      <c r="N60" s="1"/>
      <c r="O60" s="1"/>
      <c r="P60" s="1"/>
      <c r="Q60" s="1"/>
      <c r="R60" s="1"/>
      <c r="S60" s="1"/>
      <c r="T60" s="1"/>
      <c r="U60" s="1"/>
      <c r="V60" s="1"/>
      <c r="W60" s="44"/>
      <c r="X60" s="3"/>
      <c r="Y60" s="3"/>
      <c r="Z60" s="3"/>
    </row>
    <row r="61" spans="1:26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5">
      <c r="A62" s="3"/>
      <c r="B62" s="33"/>
      <c r="C62" s="33" t="s">
        <v>778</v>
      </c>
      <c r="D62" s="33"/>
      <c r="E62" s="33"/>
      <c r="F62" s="33"/>
      <c r="G62" s="33"/>
      <c r="H62" s="33" t="s">
        <v>173</v>
      </c>
      <c r="I62" s="33"/>
      <c r="J62" s="33"/>
      <c r="K62" s="3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3"/>
      <c r="B63" s="33"/>
      <c r="C63" s="74" t="s">
        <v>163</v>
      </c>
      <c r="D63" s="42">
        <v>0.87</v>
      </c>
      <c r="E63" s="33"/>
      <c r="F63" s="33"/>
      <c r="G63" s="33"/>
      <c r="H63" s="465" t="str">
        <f>МДанные!E147</f>
        <v>Расчет верен</v>
      </c>
      <c r="I63" s="465"/>
      <c r="J63" s="465"/>
      <c r="K63" s="3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A64" s="3"/>
      <c r="B64" s="33"/>
      <c r="C64" s="73" t="s">
        <v>164</v>
      </c>
      <c r="D64" s="42">
        <v>50</v>
      </c>
      <c r="E64" s="33"/>
      <c r="F64" s="33"/>
      <c r="G64" s="33"/>
      <c r="H64" s="465" t="str">
        <f>МДанные!E148</f>
        <v>Превышен максимальный ток шлейфа</v>
      </c>
      <c r="I64" s="465"/>
      <c r="J64" s="465"/>
      <c r="K64" s="3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5">
      <c r="A65" s="3"/>
      <c r="B65" s="33"/>
      <c r="C65" s="1"/>
      <c r="D65" s="1"/>
      <c r="F65" s="33"/>
      <c r="G65" s="33"/>
      <c r="H65" s="465" t="str">
        <f>МДанные!E149</f>
        <v>Превышено максимальное количество извещателей</v>
      </c>
      <c r="I65" s="465"/>
      <c r="J65" s="465"/>
      <c r="K65" s="3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3"/>
      <c r="B66" s="33"/>
      <c r="C66" s="33" t="s">
        <v>779</v>
      </c>
      <c r="D66" s="33"/>
      <c r="E66" s="33"/>
      <c r="F66" s="33"/>
      <c r="G66" s="33"/>
      <c r="H66" s="465" t="str">
        <f>МДанные!E151</f>
        <v>Превышено максимальное количество модулей</v>
      </c>
      <c r="I66" s="465"/>
      <c r="J66" s="465"/>
      <c r="K66" s="3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5">
      <c r="A67" s="3"/>
      <c r="B67" s="33"/>
      <c r="C67" s="77" t="s">
        <v>170</v>
      </c>
      <c r="D67" s="78">
        <f>SUM(H8:H22,H24:H37,H39:H55,H57:H60)</f>
        <v>0</v>
      </c>
      <c r="E67" s="33"/>
      <c r="F67" s="33"/>
      <c r="G67" s="33"/>
      <c r="H67" s="465" t="str">
        <f>МДанные!E153</f>
        <v>Превышено количество изоляторов</v>
      </c>
      <c r="I67" s="465"/>
      <c r="J67" s="465"/>
      <c r="K67" s="3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3"/>
      <c r="B68" s="33"/>
      <c r="C68" s="75" t="s">
        <v>171</v>
      </c>
      <c r="D68" s="76">
        <f>D67+SUM(J8:J22,J24:J37,J39:J55,J57:J60)+D100</f>
        <v>0</v>
      </c>
      <c r="E68" s="79" t="str">
        <f>IF(МДанные!D166,"&gt;"&amp;D69," ")</f>
        <v xml:space="preserve"> </v>
      </c>
      <c r="F68" s="33"/>
      <c r="G68" s="33"/>
      <c r="H68" s="465" t="str">
        <f>МДанные!E155</f>
        <v>Ошибка расчета искробезопасных извещателей</v>
      </c>
      <c r="I68" s="465"/>
      <c r="J68" s="465"/>
      <c r="K68" s="3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5">
      <c r="A69" s="3"/>
      <c r="B69" s="33"/>
      <c r="C69" s="77" t="s">
        <v>172</v>
      </c>
      <c r="D69" s="80">
        <f>INT(МДанные!D127/D64*D63)</f>
        <v>222</v>
      </c>
      <c r="E69" s="33"/>
      <c r="F69" s="33"/>
      <c r="G69" s="33"/>
      <c r="H69" s="465" t="str">
        <f>МДанные!E158</f>
        <v>Изоляторов больше, чем устройств данного типа</v>
      </c>
      <c r="I69" s="465"/>
      <c r="J69" s="465"/>
      <c r="K69" s="3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5">
      <c r="A70" s="3"/>
      <c r="B70" s="33"/>
      <c r="C70" s="75" t="s">
        <v>867</v>
      </c>
      <c r="D70" s="368">
        <f>D69-D68</f>
        <v>222</v>
      </c>
      <c r="E70" s="33"/>
      <c r="F70" s="33"/>
      <c r="G70" s="33"/>
      <c r="H70" s="465" t="str">
        <f>МДанные!E159</f>
        <v>Указано больше ВУОСов, чем извещателей</v>
      </c>
      <c r="I70" s="465"/>
      <c r="J70" s="465"/>
      <c r="K70" s="3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5">
      <c r="A71" s="3"/>
      <c r="B71" s="33"/>
      <c r="C71" s="1"/>
      <c r="D71" s="1"/>
      <c r="E71" s="1"/>
      <c r="F71" s="1"/>
      <c r="G71" s="33"/>
      <c r="H71" s="465" t="str">
        <f>МДанные!E160</f>
        <v>Указано больше пультов, чем 6500(S)</v>
      </c>
      <c r="I71" s="465"/>
      <c r="J71" s="465"/>
      <c r="K71" s="3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5">
      <c r="A72" s="3"/>
      <c r="B72" s="33"/>
      <c r="C72" s="33" t="s">
        <v>780</v>
      </c>
      <c r="D72" s="33"/>
      <c r="E72" s="33"/>
      <c r="F72" s="33"/>
      <c r="G72" s="3"/>
      <c r="H72" s="474" t="str">
        <f>МДанные!E179</f>
        <v>Модуль не добавлен в расчет шкафа</v>
      </c>
      <c r="I72" s="474"/>
      <c r="J72" s="474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5">
      <c r="A73" s="3"/>
      <c r="B73" s="33"/>
      <c r="C73" s="77" t="s">
        <v>396</v>
      </c>
      <c r="D73" s="80">
        <f>МДанные!E68</f>
        <v>86</v>
      </c>
      <c r="E73" s="33"/>
      <c r="F73" s="3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5">
      <c r="A74" s="3"/>
      <c r="B74" s="33"/>
      <c r="C74" s="75" t="s">
        <v>397</v>
      </c>
      <c r="D74" s="76">
        <f>D67*МДанные!D79+D73</f>
        <v>86</v>
      </c>
      <c r="E74" s="33"/>
      <c r="F74" s="3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3"/>
      <c r="B75" s="33"/>
      <c r="C75" s="77" t="s">
        <v>398</v>
      </c>
      <c r="D75" s="81">
        <f>D68*МДанные!D79+D73</f>
        <v>86</v>
      </c>
      <c r="E75" s="33"/>
      <c r="F75" s="3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5">
      <c r="A76" s="3"/>
      <c r="B76" s="33"/>
      <c r="C76" s="75" t="str">
        <f>"Ёмкость АКБ, необходимая для выполнения правила "&amp;МДанные!D103&amp;"+"&amp;МДанные!D104&amp;", Ач"</f>
        <v>Ёмкость АКБ, необходимая для выполнения правила 24+3, Ач</v>
      </c>
      <c r="D76" s="82">
        <f>(D74*МДанные!D103+D75*МДанные!D104)*МДанные!D102/1000</f>
        <v>2.9024999999999999</v>
      </c>
      <c r="E76" s="33"/>
      <c r="F76" s="3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5">
      <c r="A77" s="3"/>
      <c r="B77" s="33"/>
      <c r="C77" s="33"/>
      <c r="D77" s="33"/>
      <c r="E77" s="33"/>
      <c r="F77" s="3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5">
      <c r="A78" s="3"/>
      <c r="B78" s="33"/>
      <c r="C78" s="33" t="s">
        <v>781</v>
      </c>
      <c r="D78" s="33"/>
      <c r="E78" s="33"/>
      <c r="F78" s="3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39" x14ac:dyDescent="0.25">
      <c r="A79" s="3"/>
      <c r="B79" s="33"/>
      <c r="C79" s="377" t="s">
        <v>232</v>
      </c>
      <c r="D79" s="378" t="s">
        <v>179</v>
      </c>
      <c r="E79" s="379" t="s">
        <v>178</v>
      </c>
      <c r="F79" s="3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5">
      <c r="A80" s="3"/>
      <c r="B80" s="33"/>
      <c r="C80" s="376">
        <v>0.75</v>
      </c>
      <c r="D80" s="86">
        <f>MIN(МДанные!D$108+МДанные!D$109*МДанные!D$110,(МДанные!D$118/E80*(1-МДанные!D$116/100))*1000)</f>
        <v>6000</v>
      </c>
      <c r="E80" s="370">
        <f>МДанные!D$114*МДанные!D$115/C80</f>
        <v>48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5">
      <c r="A81" s="3"/>
      <c r="B81" s="33"/>
      <c r="C81" s="87">
        <v>1</v>
      </c>
      <c r="D81" s="84">
        <f>MIN(МДанные!D$108+МДанные!D$109*МДанные!D$110,(МДанные!D$118/E81*(1-МДанные!D$116/100))*1000)</f>
        <v>6000</v>
      </c>
      <c r="E81" s="369">
        <f>МДанные!D$114*МДанные!D$115/C81</f>
        <v>36</v>
      </c>
      <c r="F81" s="3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3"/>
      <c r="B82" s="33"/>
      <c r="C82" s="85">
        <v>1.5</v>
      </c>
      <c r="D82" s="86">
        <f>MIN(МДанные!D$108+МДанные!D$109*МДанные!D$110,(МДанные!D$118/E82*(1-МДанные!D$116/100))*1000)</f>
        <v>6000</v>
      </c>
      <c r="E82" s="370">
        <f>МДанные!D$114*МДанные!D$115/C82</f>
        <v>24</v>
      </c>
      <c r="F82" s="3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5">
      <c r="A83" s="3"/>
      <c r="B83" s="33"/>
      <c r="C83" s="87">
        <v>2</v>
      </c>
      <c r="D83" s="84">
        <f>MIN(МДанные!D$108+МДанные!D$109*МДанные!D$110,(МДанные!D$118/E83*(1-МДанные!D$116/100))*1000)</f>
        <v>6000</v>
      </c>
      <c r="E83" s="369">
        <f>МДанные!D$114*МДанные!D$115/C83</f>
        <v>18</v>
      </c>
      <c r="F83" s="3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5">
      <c r="A84" s="3"/>
      <c r="B84" s="33"/>
      <c r="C84" s="85">
        <v>2.5</v>
      </c>
      <c r="D84" s="86">
        <f>MIN(МДанные!D$108+МДанные!D$109*МДанные!D$110,(МДанные!D$118/E84*(1-МДанные!D$116/100))*1000)</f>
        <v>6000</v>
      </c>
      <c r="E84" s="370">
        <f>МДанные!D$114*МДанные!D$115/C84</f>
        <v>14.4</v>
      </c>
      <c r="F84" s="3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3"/>
      <c r="B85" s="33"/>
      <c r="C85" s="33"/>
      <c r="D85" s="33"/>
      <c r="E85" s="33"/>
      <c r="F85" s="3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5">
      <c r="A86" s="3"/>
      <c r="B86" s="33"/>
      <c r="C86" s="33" t="s">
        <v>782</v>
      </c>
      <c r="D86" s="33"/>
      <c r="E86" s="33"/>
      <c r="F86" s="3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5">
      <c r="A87" s="3"/>
      <c r="B87" s="33"/>
      <c r="C87" s="88" t="s">
        <v>174</v>
      </c>
      <c r="D87" s="89">
        <f>SUM(D8:D22,D24:D37,D39:D55)</f>
        <v>0</v>
      </c>
      <c r="E87" s="33"/>
      <c r="F87" s="3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5">
      <c r="A88" s="3"/>
      <c r="B88" s="33"/>
      <c r="C88" s="90" t="s">
        <v>175</v>
      </c>
      <c r="D88" s="91">
        <f>MIN(SUM(D8:D18),60)+D89</f>
        <v>0</v>
      </c>
      <c r="E88" s="79" t="str">
        <f>IF(МДанные!D167,"&gt;"&amp;МДанные!D138," ")</f>
        <v xml:space="preserve"> </v>
      </c>
      <c r="F88" s="3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5">
      <c r="A89" s="3"/>
      <c r="B89" s="33"/>
      <c r="C89" s="88" t="s">
        <v>281</v>
      </c>
      <c r="D89" s="92">
        <f>SUM(D19:D20,2*D21,2*D22)+MAX(SUM(D8:D18)-60,0)</f>
        <v>0</v>
      </c>
      <c r="E89" s="79" t="str">
        <f>IF(МДанные!D168,"&gt;"&amp;МДанные!D139," ")</f>
        <v xml:space="preserve"> </v>
      </c>
      <c r="F89" s="3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5">
      <c r="A90" s="3"/>
      <c r="B90" s="33"/>
      <c r="C90" s="90" t="s">
        <v>282</v>
      </c>
      <c r="D90" s="91">
        <f>MIN(SUM(D24:D32,2*D33,3*D34,D35:D36,D39:D55,5*D37),60)+D91</f>
        <v>0</v>
      </c>
      <c r="E90" s="79" t="str">
        <f>IF(МДанные!D169,"&gt;"&amp;МДанные!D138," ")</f>
        <v xml:space="preserve"> </v>
      </c>
      <c r="F90" s="3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5">
      <c r="A91" s="3"/>
      <c r="B91" s="33"/>
      <c r="C91" s="88" t="s">
        <v>283</v>
      </c>
      <c r="D91" s="92">
        <f>SUM(D20,2*D21,2*D22)+MAX(SUM(D24:D32,2*D33,3*D34,D35:D36,D39:D55,5*D37)-60,0)</f>
        <v>0</v>
      </c>
      <c r="E91" s="79" t="str">
        <f>IF(МДанные!D170,"&gt;"&amp;МДанные!D139," ")</f>
        <v xml:space="preserve"> </v>
      </c>
      <c r="F91" s="3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5">
      <c r="A92" s="3"/>
      <c r="B92" s="33"/>
      <c r="C92" s="90" t="s">
        <v>176</v>
      </c>
      <c r="D92" s="91">
        <f>SUM(МДанные!W8:W56)</f>
        <v>0</v>
      </c>
      <c r="E92" s="33"/>
      <c r="F92" s="3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5">
      <c r="A93" s="3"/>
      <c r="B93" s="33"/>
      <c r="C93" s="88" t="s">
        <v>248</v>
      </c>
      <c r="D93" s="89">
        <f>IF(D92&gt;0,D87/D92,0)</f>
        <v>0</v>
      </c>
      <c r="E93" s="93" t="str">
        <f>IF(МДанные!D172,"&lt;"&amp;Nix,IF(МДанные!D171,"&lt;"&amp;Nir," "))</f>
        <v xml:space="preserve"> </v>
      </c>
      <c r="F93" s="3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5">
      <c r="A94" s="3"/>
      <c r="B94" s="33"/>
      <c r="C94" s="90" t="s">
        <v>177</v>
      </c>
      <c r="D94" s="94">
        <f>D19</f>
        <v>0</v>
      </c>
      <c r="E94" s="33"/>
      <c r="F94" s="3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3"/>
      <c r="B95" s="33"/>
      <c r="C95" s="88" t="s">
        <v>230</v>
      </c>
      <c r="D95" s="89">
        <f>IF(AND(D59=0,D19&gt;0),"ОШИБКА",D19/MAX(1,D59))</f>
        <v>0</v>
      </c>
      <c r="E95" s="79" t="str">
        <f>IF(AND(МДанные!D175,NOT(МДанные!D173)),"&gt;"&amp;МДанные!D143,IF(МДанные!D174,"&lt;1",""))</f>
        <v/>
      </c>
      <c r="F95" s="3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5">
      <c r="A96" s="3"/>
      <c r="B96" s="33"/>
      <c r="C96" s="33"/>
      <c r="D96" s="33"/>
      <c r="E96" s="33"/>
      <c r="F96" s="3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5">
      <c r="A97" s="3"/>
      <c r="B97" s="33"/>
      <c r="C97" s="33" t="s">
        <v>783</v>
      </c>
      <c r="D97" s="34"/>
      <c r="E97" s="34"/>
      <c r="F97" s="3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5">
      <c r="A98" s="3"/>
      <c r="B98" s="33"/>
      <c r="C98" s="29" t="s">
        <v>229</v>
      </c>
      <c r="D98" s="35">
        <f>SUM(J8:J22,J24:J35,J57:J58)</f>
        <v>0</v>
      </c>
      <c r="E98" s="33"/>
      <c r="F98" s="3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5">
      <c r="A99" s="3"/>
      <c r="B99" s="3"/>
      <c r="C99" s="31" t="s">
        <v>343</v>
      </c>
      <c r="D99" s="32">
        <f>SUM(J39:J55)</f>
        <v>0</v>
      </c>
      <c r="E99" s="33"/>
      <c r="F99" s="3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5">
      <c r="A100" s="3"/>
      <c r="B100" s="3"/>
      <c r="C100" s="29" t="s">
        <v>180</v>
      </c>
      <c r="D100" s="30">
        <f>IF(МДанные!D74=МДанные!D134,MIN(2,D92)*МДанные!D128,0)</f>
        <v>0</v>
      </c>
      <c r="E100" s="33"/>
      <c r="F100" s="3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5">
      <c r="A101" s="3"/>
      <c r="B101" s="3"/>
      <c r="C101" s="31" t="s">
        <v>181</v>
      </c>
      <c r="D101" s="32">
        <f>SUMPRODUCT(МДанные!K8:K56,МДанные!W8:W56)</f>
        <v>0</v>
      </c>
      <c r="E101" s="3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7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7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7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7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7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7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7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7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7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7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7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7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7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7" x14ac:dyDescent="0.25">
      <c r="A158" s="50"/>
      <c r="B158" s="49" t="s">
        <v>260</v>
      </c>
      <c r="C158" s="49"/>
      <c r="D158" s="49"/>
      <c r="E158" s="49"/>
      <c r="F158" s="49"/>
      <c r="G158" s="49"/>
      <c r="H158" s="49"/>
      <c r="I158" s="49"/>
      <c r="J158" s="49"/>
      <c r="K158" s="49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49"/>
    </row>
    <row r="159" spans="1:27" x14ac:dyDescent="0.25">
      <c r="A159" s="50"/>
      <c r="B159" s="45" t="s">
        <v>334</v>
      </c>
      <c r="C159" t="s">
        <v>352</v>
      </c>
      <c r="D159" s="49"/>
      <c r="E159" s="49"/>
      <c r="F159" s="49"/>
      <c r="G159" s="49"/>
      <c r="H159" s="49"/>
      <c r="I159" s="49"/>
      <c r="J159" s="49"/>
      <c r="K159" s="49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49"/>
    </row>
    <row r="160" spans="1:27" x14ac:dyDescent="0.25">
      <c r="A160" s="50"/>
      <c r="B160" s="49" t="s">
        <v>370</v>
      </c>
      <c r="C160" s="49" t="s">
        <v>371</v>
      </c>
      <c r="D160" s="49"/>
      <c r="E160" s="49"/>
      <c r="F160" s="49"/>
      <c r="G160" s="49"/>
      <c r="H160" s="49"/>
      <c r="I160" s="49"/>
      <c r="J160" s="49"/>
      <c r="K160" s="49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49"/>
    </row>
    <row r="161" spans="1:27" x14ac:dyDescent="0.25">
      <c r="A161" s="50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49"/>
    </row>
    <row r="162" spans="1:27" x14ac:dyDescent="0.25">
      <c r="A162" s="50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49"/>
    </row>
    <row r="163" spans="1:27" x14ac:dyDescent="0.25">
      <c r="A163" s="50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49"/>
    </row>
    <row r="164" spans="1:27" x14ac:dyDescent="0.25">
      <c r="A164" s="50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49"/>
    </row>
    <row r="165" spans="1:27" x14ac:dyDescent="0.25">
      <c r="A165" s="50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49"/>
    </row>
    <row r="166" spans="1:27" x14ac:dyDescent="0.25">
      <c r="A166" s="50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49"/>
    </row>
    <row r="167" spans="1:27" x14ac:dyDescent="0.25">
      <c r="A167" s="50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49"/>
    </row>
    <row r="168" spans="1:27" x14ac:dyDescent="0.25">
      <c r="A168" s="50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49"/>
    </row>
    <row r="169" spans="1:27" x14ac:dyDescent="0.25">
      <c r="A169" s="50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49"/>
    </row>
    <row r="170" spans="1:27" x14ac:dyDescent="0.25">
      <c r="A170" s="50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49"/>
    </row>
    <row r="171" spans="1:27" x14ac:dyDescent="0.25">
      <c r="A171" s="50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49"/>
    </row>
    <row r="172" spans="1:27" x14ac:dyDescent="0.25">
      <c r="A172" s="50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49"/>
    </row>
    <row r="173" spans="1:27" x14ac:dyDescent="0.25">
      <c r="A173" s="50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49"/>
    </row>
    <row r="174" spans="1:27" x14ac:dyDescent="0.25">
      <c r="A174" s="50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49"/>
    </row>
    <row r="175" spans="1:27" x14ac:dyDescent="0.25">
      <c r="A175" s="50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49"/>
    </row>
    <row r="176" spans="1:27" x14ac:dyDescent="0.25">
      <c r="A176" s="50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49"/>
    </row>
    <row r="177" spans="1:27" x14ac:dyDescent="0.25">
      <c r="A177" s="50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49"/>
    </row>
    <row r="178" spans="1:27" x14ac:dyDescent="0.25">
      <c r="A178" s="50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49"/>
    </row>
    <row r="179" spans="1:27" x14ac:dyDescent="0.25">
      <c r="A179" s="50"/>
      <c r="B179" s="50"/>
      <c r="C179" s="49"/>
      <c r="D179" s="49"/>
      <c r="E179" s="49"/>
      <c r="F179" s="49"/>
      <c r="G179" s="49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49"/>
    </row>
    <row r="180" spans="1:27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49"/>
    </row>
    <row r="181" spans="1:27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49"/>
    </row>
    <row r="182" spans="1:27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49"/>
    </row>
    <row r="183" spans="1:27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49"/>
    </row>
    <row r="184" spans="1:27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49"/>
    </row>
    <row r="185" spans="1:27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49"/>
    </row>
    <row r="186" spans="1:27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49"/>
    </row>
    <row r="187" spans="1:27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49"/>
    </row>
    <row r="188" spans="1:27" x14ac:dyDescent="0.25">
      <c r="A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</row>
  </sheetData>
  <sheetProtection password="DF98" sheet="1" objects="1" scenarios="1"/>
  <mergeCells count="68">
    <mergeCell ref="B31:C31"/>
    <mergeCell ref="B36:C36"/>
    <mergeCell ref="H72:J72"/>
    <mergeCell ref="B8:C8"/>
    <mergeCell ref="C2:I2"/>
    <mergeCell ref="B6:C6"/>
    <mergeCell ref="B7:I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26:C26"/>
    <mergeCell ref="B27:C27"/>
    <mergeCell ref="B28:C28"/>
    <mergeCell ref="B29:C29"/>
    <mergeCell ref="B30:C30"/>
    <mergeCell ref="H69:J69"/>
    <mergeCell ref="H70:J70"/>
    <mergeCell ref="H71:J71"/>
    <mergeCell ref="H66:J66"/>
    <mergeCell ref="H67:J67"/>
    <mergeCell ref="B55:C55"/>
    <mergeCell ref="B56:I56"/>
    <mergeCell ref="B57:C57"/>
    <mergeCell ref="B58:C58"/>
    <mergeCell ref="H68:J68"/>
    <mergeCell ref="B59:C59"/>
    <mergeCell ref="B60:C60"/>
    <mergeCell ref="H63:J63"/>
    <mergeCell ref="H64:J64"/>
    <mergeCell ref="H65:J65"/>
    <mergeCell ref="B54:C54"/>
    <mergeCell ref="B51:C51"/>
    <mergeCell ref="B33:C33"/>
    <mergeCell ref="B34:C34"/>
    <mergeCell ref="B35:C35"/>
    <mergeCell ref="B37:C37"/>
    <mergeCell ref="B38:I38"/>
    <mergeCell ref="B39:C39"/>
    <mergeCell ref="B41:C41"/>
    <mergeCell ref="B43:C43"/>
    <mergeCell ref="B45:C45"/>
    <mergeCell ref="B53:C53"/>
    <mergeCell ref="B49:C49"/>
    <mergeCell ref="B40:C40"/>
    <mergeCell ref="B42:C42"/>
    <mergeCell ref="B44:C44"/>
    <mergeCell ref="K4:L5"/>
    <mergeCell ref="C3:I3"/>
    <mergeCell ref="B48:C48"/>
    <mergeCell ref="B50:C50"/>
    <mergeCell ref="B52:C52"/>
    <mergeCell ref="B46:C46"/>
    <mergeCell ref="B47:C47"/>
    <mergeCell ref="B17:C17"/>
    <mergeCell ref="B18:C18"/>
    <mergeCell ref="B19:C19"/>
    <mergeCell ref="B32:C32"/>
    <mergeCell ref="B21:C21"/>
    <mergeCell ref="B22:C22"/>
    <mergeCell ref="B23:I23"/>
    <mergeCell ref="B24:C24"/>
    <mergeCell ref="B25:C25"/>
  </mergeCells>
  <conditionalFormatting sqref="B8:K17 B18:J18 B19:K19 B20:J22 B24:K29 B30:J36 B37:K37 B39:K55 B57:J60">
    <cfRule type="expression" dxfId="147" priority="2083">
      <formula>$D8&gt;0</formula>
    </cfRule>
  </conditionalFormatting>
  <conditionalFormatting sqref="F8:H22 J8:J22 D98:D99 D101 F39:H55 J39:J55 J24:J37 F24:H37 F57:H60 J57:J60">
    <cfRule type="expression" dxfId="146" priority="6">
      <formula>D8&gt;0</formula>
    </cfRule>
  </conditionalFormatting>
  <conditionalFormatting sqref="K37">
    <cfRule type="expression" dxfId="145" priority="23">
      <formula>$D37&gt;0</formula>
    </cfRule>
  </conditionalFormatting>
  <conditionalFormatting sqref="K18 K20:K22 K30:K36">
    <cfRule type="expression" dxfId="144" priority="2091">
      <formula>$K18&gt;0</formula>
    </cfRule>
  </conditionalFormatting>
  <conditionalFormatting sqref="K18 K20:K22 B18 B20:C22 K30:K36 B30:C36">
    <cfRule type="expression" dxfId="143" priority="1662">
      <formula>$K18&gt;$D18</formula>
    </cfRule>
  </conditionalFormatting>
  <dataValidations count="2">
    <dataValidation type="whole" allowBlank="1" showInputMessage="1" showErrorMessage="1" error="Количество изоляторов превышает количество устройств!" sqref="K30:K36 K18 K20:K22">
      <formula1>0</formula1>
      <formula2>D18</formula2>
    </dataValidation>
    <dataValidation allowBlank="1" showInputMessage="1" showErrorMessage="1" error="Введите значение из выпадающего списка!" sqref="L35:L36"/>
  </dataValidations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orelDraw.Graphic.17" shapeId="5121" r:id="rId4">
          <objectPr defaultSize="0" autoPict="0" r:id="rId5">
            <anchor moveWithCells="1">
              <from>
                <xdr:col>1</xdr:col>
                <xdr:colOff>0</xdr:colOff>
                <xdr:row>0</xdr:row>
                <xdr:rowOff>85725</xdr:rowOff>
              </from>
              <to>
                <xdr:col>2</xdr:col>
                <xdr:colOff>1847850</xdr:colOff>
                <xdr:row>2</xdr:row>
                <xdr:rowOff>76200</xdr:rowOff>
              </to>
            </anchor>
          </objectPr>
        </oleObject>
      </mc:Choice>
      <mc:Fallback>
        <oleObject progId="CorelDraw.Graphic.17" shapeId="5121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68" id="{2D8A80C8-CBB7-4E35-9421-E0953B3A4F16}">
            <xm:f>OR(МДанные!$D$173,МДанные!$D$175)</xm:f>
            <x14:dxf>
              <fill>
                <patternFill>
                  <bgColor rgb="FFFF0000"/>
                </patternFill>
              </fill>
            </x14:dxf>
          </x14:cfRule>
          <xm:sqref>D59 D19</xm:sqref>
        </x14:conditionalFormatting>
        <x14:conditionalFormatting xmlns:xm="http://schemas.microsoft.com/office/excel/2006/main">
          <x14:cfRule type="expression" priority="29" id="{55FB8B90-FDC7-4304-8676-D4238F41A591}">
            <xm:f>$D$63&lt;&gt;МДанные!$D$94</xm:f>
            <x14:dxf>
              <fill>
                <patternFill>
                  <bgColor rgb="FFFFFF00"/>
                </patternFill>
              </fill>
            </x14:dxf>
          </x14:cfRule>
          <xm:sqref>C63:D63</xm:sqref>
        </x14:conditionalFormatting>
        <x14:conditionalFormatting xmlns:xm="http://schemas.microsoft.com/office/excel/2006/main">
          <x14:cfRule type="expression" priority="30" id="{9499E9E2-303D-459B-861B-C0EAEAA293BA}">
            <xm:f>$D$64=МДанные!$D$98</xm:f>
            <x14:dxf>
              <fill>
                <patternFill>
                  <bgColor rgb="FFFFFF00"/>
                </patternFill>
              </fill>
            </x14:dxf>
          </x14:cfRule>
          <xm:sqref>C64:D64</xm:sqref>
        </x14:conditionalFormatting>
        <x14:conditionalFormatting xmlns:xm="http://schemas.microsoft.com/office/excel/2006/main">
          <x14:cfRule type="expression" priority="1465" id="{E022B70C-CE58-4930-9E8F-F887066228D1}">
            <xm:f>МДанные!$D$166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H64 D68</xm:sqref>
        </x14:conditionalFormatting>
        <x14:conditionalFormatting xmlns:xm="http://schemas.microsoft.com/office/excel/2006/main">
          <x14:cfRule type="expression" priority="25" id="{B73E5180-537E-4917-B9AB-76F558CA68E6}">
            <xm:f>AND($D19&gt;0,МДанные!$D$168)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D19:D22</xm:sqref>
        </x14:conditionalFormatting>
        <x14:conditionalFormatting xmlns:xm="http://schemas.microsoft.com/office/excel/2006/main">
          <x14:cfRule type="expression" priority="1472" id="{8D66D8FD-9CF7-4F8F-9744-AEDC0E89197D}">
            <xm:f>МДанные!$D$176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H69:J69</xm:sqref>
        </x14:conditionalFormatting>
        <x14:conditionalFormatting xmlns:xm="http://schemas.microsoft.com/office/excel/2006/main">
          <x14:cfRule type="expression" priority="1476" id="{BED1B17B-B968-4CF5-A080-CDD7B361CF99}">
            <xm:f>МДанные!$D$169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H66 D91</xm:sqref>
        </x14:conditionalFormatting>
        <x14:conditionalFormatting xmlns:xm="http://schemas.microsoft.com/office/excel/2006/main">
          <x14:cfRule type="expression" priority="1659" id="{E022B70C-CE58-4930-9E8F-F887066228D1}">
            <xm:f>МДанные!$D$167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H65 D88</xm:sqref>
        </x14:conditionalFormatting>
        <x14:conditionalFormatting xmlns:xm="http://schemas.microsoft.com/office/excel/2006/main">
          <x14:cfRule type="expression" priority="24" id="{589C7071-D585-4509-A895-351DF7B0E3BA}">
            <xm:f>AND($D8&gt;0,МДанные!$D$167)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D8:D22</xm:sqref>
        </x14:conditionalFormatting>
        <x14:conditionalFormatting xmlns:xm="http://schemas.microsoft.com/office/excel/2006/main">
          <x14:cfRule type="expression" priority="31" id="{B73E5180-537E-4917-B9AB-76F558CA68E6}">
            <xm:f>AND($D20&gt;0,МДанные!$D$169)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D24:D34 D20:D22 D39:D55 D37</xm:sqref>
        </x14:conditionalFormatting>
        <x14:conditionalFormatting xmlns:xm="http://schemas.microsoft.com/office/excel/2006/main">
          <x14:cfRule type="expression" priority="1666" id="{8D66D8FD-9CF7-4F8F-9744-AEDC0E89197D}">
            <xm:f>МДанные!$D$177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H70:J70</xm:sqref>
        </x14:conditionalFormatting>
        <x14:conditionalFormatting xmlns:xm="http://schemas.microsoft.com/office/excel/2006/main">
          <x14:cfRule type="expression" priority="1667" id="{F12109E9-EEB3-4925-BD4E-48DFA3EF2F54}">
            <xm:f>МДанные!$D$171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14:cfRule type="expression" priority="4" id="{35BF326B-D348-47C4-BB7E-E243131529D5}">
            <xm:f>МДанные!$D$172</xm:f>
            <x14:dxf>
              <font>
                <b/>
                <i val="0"/>
              </font>
              <fill>
                <patternFill>
                  <bgColor rgb="FFFF0000"/>
                </patternFill>
              </fill>
            </x14:dxf>
          </x14:cfRule>
          <xm:sqref>H67 D93</xm:sqref>
        </x14:conditionalFormatting>
        <x14:conditionalFormatting xmlns:xm="http://schemas.microsoft.com/office/excel/2006/main">
          <x14:cfRule type="expression" priority="1670" id="{BED1B17B-B968-4CF5-A080-CDD7B361CF99}">
            <xm:f>МДанные!$D$170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H66 D90</xm:sqref>
        </x14:conditionalFormatting>
        <x14:conditionalFormatting xmlns:xm="http://schemas.microsoft.com/office/excel/2006/main">
          <x14:cfRule type="expression" priority="1672" id="{CFC5DFE7-D887-49AE-88BB-23F988F49C7F}">
            <xm:f>МДанные!$D$165</xm:f>
            <x14:dxf>
              <font>
                <b/>
                <i val="0"/>
                <color auto="1"/>
              </font>
              <fill>
                <patternFill>
                  <bgColor rgb="FF00B050"/>
                </patternFill>
              </fill>
            </x14:dxf>
          </x14:cfRule>
          <xm:sqref>H63:J63</xm:sqref>
        </x14:conditionalFormatting>
        <x14:conditionalFormatting xmlns:xm="http://schemas.microsoft.com/office/excel/2006/main">
          <x14:cfRule type="expression" priority="1673" id="{D48129DF-B141-49C5-A4D0-ADCBED96904A}">
            <xm:f>МДанные!$D$168</xm:f>
            <x14:dxf>
              <font>
                <b/>
                <i val="0"/>
                <color auto="1"/>
              </font>
              <fill>
                <patternFill>
                  <fgColor auto="1"/>
                  <bgColor rgb="FFFF0000"/>
                </patternFill>
              </fill>
            </x14:dxf>
          </x14:cfRule>
          <xm:sqref>H65 D89</xm:sqref>
        </x14:conditionalFormatting>
        <x14:conditionalFormatting xmlns:xm="http://schemas.microsoft.com/office/excel/2006/main">
          <x14:cfRule type="expression" priority="1640" id="{E716C1D9-9D15-414E-B1C3-A080EC299FF8}">
            <xm:f>AND($D20&gt;0,МДанные!$D$170)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D20:D22</xm:sqref>
        </x14:conditionalFormatting>
        <x14:conditionalFormatting xmlns:xm="http://schemas.microsoft.com/office/excel/2006/main">
          <x14:cfRule type="expression" priority="1806" id="{8D66D8FD-9CF7-4F8F-9744-AEDC0E89197D}">
            <xm:f>МДанные!$D$178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H71:J71</xm:sqref>
        </x14:conditionalFormatting>
        <x14:conditionalFormatting xmlns:xm="http://schemas.microsoft.com/office/excel/2006/main">
          <x14:cfRule type="expression" priority="1807" id="{24CFE723-6AA8-487E-B2A5-60379C92193F}">
            <xm:f>МДанные!$D$174</xm:f>
            <x14:dxf>
              <fill>
                <patternFill>
                  <bgColor rgb="FFFFC000"/>
                </patternFill>
              </fill>
            </x14:dxf>
          </x14:cfRule>
          <xm:sqref>D19</xm:sqref>
        </x14:conditionalFormatting>
        <x14:conditionalFormatting xmlns:xm="http://schemas.microsoft.com/office/excel/2006/main">
          <x14:cfRule type="expression" priority="1808" id="{BA250CD5-1900-4CAC-95F4-B09A02EB6F57}">
            <xm:f>OR(МДанные!$D$173,МДанные!$D$175)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expression" priority="1809" id="{103E5EBC-394F-4704-A03E-5747E6982588}">
            <xm:f>МДанные!$D$174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H68 D95</xm:sqref>
        </x14:conditionalFormatting>
        <x14:conditionalFormatting xmlns:xm="http://schemas.microsoft.com/office/excel/2006/main">
          <x14:cfRule type="expression" priority="1812" id="{505EA444-3911-49C1-BC0B-733B3F7C7245}">
            <xm:f>МДанные!$D$174</xm:f>
            <x14:dxf>
              <fill>
                <patternFill patternType="lightUp">
                  <fgColor rgb="FFFFC000"/>
                </patternFill>
              </fill>
            </x14:dxf>
          </x14:cfRule>
          <xm:sqref>B59:J60</xm:sqref>
        </x14:conditionalFormatting>
        <x14:conditionalFormatting xmlns:xm="http://schemas.microsoft.com/office/excel/2006/main">
          <x14:cfRule type="expression" priority="1813" id="{6E1EB094-3E04-4962-B66A-3B8E9A070BC9}">
            <xm:f>МДанные!$D$177</xm:f>
            <x14:dxf>
              <fill>
                <patternFill patternType="solid">
                  <fgColor rgb="FFFFC000"/>
                  <bgColor rgb="FFFFC000"/>
                </patternFill>
              </fill>
            </x14:dxf>
          </x14:cfRule>
          <xm:sqref>B57:D57 F57:J57</xm:sqref>
        </x14:conditionalFormatting>
        <x14:conditionalFormatting xmlns:xm="http://schemas.microsoft.com/office/excel/2006/main">
          <x14:cfRule type="expression" priority="1814" id="{072D79DD-2F5C-4DF9-857A-BB40D95B50DD}">
            <xm:f>МДанные!$D$174</xm:f>
            <x14:dxf>
              <font>
                <color rgb="FFFFC000"/>
              </font>
            </x14:dxf>
          </x14:cfRule>
          <xm:sqref>E95</xm:sqref>
        </x14:conditionalFormatting>
        <x14:conditionalFormatting xmlns:xm="http://schemas.microsoft.com/office/excel/2006/main">
          <x14:cfRule type="expression" priority="1661" id="{EDC7876A-B364-4A2A-8832-2FA08EBEC966}">
            <xm:f>AND(МДанные!$D$177)</xm:f>
            <x14:dxf>
              <fill>
                <patternFill patternType="lightTrellis">
                  <fgColor rgb="FFFFC000"/>
                </patternFill>
              </fill>
            </x14:dxf>
          </x14:cfRule>
          <xm:sqref>D8:D17</xm:sqref>
        </x14:conditionalFormatting>
        <x14:conditionalFormatting xmlns:xm="http://schemas.microsoft.com/office/excel/2006/main">
          <x14:cfRule type="expression" priority="1816" id="{151D7430-83A3-4D85-A991-6D204912362F}">
            <xm:f>МДанные!$D$178</xm:f>
            <x14:dxf>
              <fill>
                <patternFill>
                  <bgColor rgb="FFFFC000"/>
                </patternFill>
              </fill>
            </x14:dxf>
          </x14:cfRule>
          <xm:sqref>B58:D58 F58:J58</xm:sqref>
        </x14:conditionalFormatting>
        <x14:conditionalFormatting xmlns:xm="http://schemas.microsoft.com/office/excel/2006/main">
          <x14:cfRule type="expression" priority="1817" id="{2DE55199-0351-4B79-9347-004171AE610E}">
            <xm:f>МДанные!$D$178</xm:f>
            <x14:dxf>
              <fill>
                <patternFill patternType="lightTrellis">
                  <fgColor rgb="FFFFC000"/>
                </patternFill>
              </fill>
            </x14:dxf>
          </x14:cfRule>
          <xm:sqref>D18</xm:sqref>
        </x14:conditionalFormatting>
        <x14:conditionalFormatting xmlns:xm="http://schemas.microsoft.com/office/excel/2006/main">
          <x14:cfRule type="expression" priority="1818" id="{A4105AB4-B157-4FE8-855C-02B016E46E8E}">
            <xm:f>NOT(МДанные!$D$179)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H72:J72 C3</xm:sqref>
        </x14:conditionalFormatting>
        <x14:conditionalFormatting xmlns:xm="http://schemas.microsoft.com/office/excel/2006/main">
          <x14:cfRule type="expression" priority="2140" id="{2ED7296E-D60A-43CA-8C87-6E2CEFE72166}">
            <xm:f>AND($L36&gt;0,МДанные!$D$161)</xm:f>
            <x14:dxf>
              <fill>
                <patternFill>
                  <bgColor rgb="FFFFC000"/>
                </patternFill>
              </fill>
            </x14:dxf>
          </x14:cfRule>
          <xm:sqref>L36</xm:sqref>
        </x14:conditionalFormatting>
        <x14:conditionalFormatting xmlns:xm="http://schemas.microsoft.com/office/excel/2006/main">
          <x14:cfRule type="expression" priority="2141" id="{986667F6-B2E0-4864-95B4-7E7C14672C23}">
            <xm:f>AND($L30&gt;0,МДанные!$D$179)</xm:f>
            <x14:dxf>
              <fill>
                <patternFill>
                  <bgColor rgb="FFFFC000"/>
                </patternFill>
              </fill>
            </x14:dxf>
          </x14:cfRule>
          <xm:sqref>L30:L35</xm:sqref>
        </x14:conditionalFormatting>
        <x14:conditionalFormatting xmlns:xm="http://schemas.microsoft.com/office/excel/2006/main">
          <x14:cfRule type="expression" priority="1675" id="{1383F740-EA6F-4D0C-85EB-24415F14BF5C}">
            <xm:f>AND(МДанные!$D$172,$D9&gt;0,$K9&gt;0)</xm:f>
            <x14:dxf>
              <fill>
                <patternFill patternType="darkUp">
                  <fgColor rgb="FFFF0000"/>
                </patternFill>
              </fill>
            </x14:dxf>
          </x14:cfRule>
          <x14:cfRule type="expression" priority="1815" id="{12673646-4243-4F1A-AE11-6E8160B05D41}">
            <xm:f>AND(МДанные!$D$171,$D9&gt;0,$K9&gt;0)</xm:f>
            <x14:dxf>
              <fill>
                <patternFill patternType="lightUp">
                  <fgColor rgb="FFFFC000"/>
                </patternFill>
              </fill>
            </x14:dxf>
          </x14:cfRule>
          <xm:sqref>B9:K9 B11:K11 B13:K13 B15:K15 B17:K17 B25:K25 B27:K27 B29:K29 B41:K42 B45:K46 B49:K50 B53:K54 K18 K20:K22 B18 B20:C22 K30:K36 B30:C36</xm:sqref>
        </x14:conditionalFormatting>
        <x14:conditionalFormatting xmlns:xm="http://schemas.microsoft.com/office/excel/2006/main">
          <x14:cfRule type="expression" priority="3" id="{8C8CEFB1-8ADC-4717-927D-4ECADC6E5B8E}">
            <xm:f>МДанные!$D$172</xm:f>
            <x14:dxf>
              <font>
                <color rgb="FFFF0000"/>
              </font>
            </x14:dxf>
          </x14:cfRule>
          <xm:sqref>E93</xm:sqref>
        </x14:conditionalFormatting>
        <x14:conditionalFormatting xmlns:xm="http://schemas.microsoft.com/office/excel/2006/main">
          <x14:cfRule type="expression" priority="2" id="{91679B03-EC3D-4F34-A765-A888808CEFF9}">
            <xm:f>AND($L39&lt;&gt;МДанные!$J$106,$D39&gt;0)</xm:f>
            <x14:dxf>
              <fill>
                <patternFill>
                  <bgColor rgb="FFFFFF00"/>
                </patternFill>
              </fill>
            </x14:dxf>
          </x14:cfRule>
          <xm:sqref>L39 L41 L43 L45 L47 L49 L51 L53</xm:sqref>
        </x14:conditionalFormatting>
        <x14:conditionalFormatting xmlns:xm="http://schemas.microsoft.com/office/excel/2006/main">
          <x14:cfRule type="expression" priority="1" id="{78BE593B-B288-42F5-8A2D-1F99A5749C62}">
            <xm:f>AND($L40&lt;&gt;МДанные!$J$74,$D40&gt;0)</xm:f>
            <x14:dxf>
              <fill>
                <patternFill>
                  <bgColor rgb="FFFFFF00"/>
                </patternFill>
              </fill>
            </x14:dxf>
          </x14:cfRule>
          <xm:sqref>L40 L42 L44 L46 L48 L50 L52 L54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="Введите значение из выпадающего списка!">
          <x14:formula1>
            <xm:f>МДанные!$D$98:$D$99</xm:f>
          </x14:formula1>
          <xm:sqref>D64</xm:sqref>
        </x14:dataValidation>
        <x14:dataValidation type="list" allowBlank="1" showInputMessage="1" showErrorMessage="1" error="Введите значение из выпадающего списка!">
          <x14:formula1>
            <xm:f>МДанные!$D$93:$D$95</xm:f>
          </x14:formula1>
          <xm:sqref>D63</xm:sqref>
        </x14:dataValidation>
        <x14:dataValidation type="whole" allowBlank="1" showErrorMessage="1" error="Превышено количество устройств данного типа! Сначала добавьте извещатели.">
          <x14:formula1>
            <xm:f>0</xm:f>
          </x14:formula1>
          <x14:formula2>
            <xm:f>МДанные!I58</xm:f>
          </x14:formula2>
          <xm:sqref>D57</xm:sqref>
        </x14:dataValidation>
        <x14:dataValidation type="whole" allowBlank="1" showErrorMessage="1" error="Превышено количество устройств данного типа! Сначала добавьте извещатели.">
          <x14:formula1>
            <xm:f>0</xm:f>
          </x14:formula1>
          <x14:formula2>
            <xm:f>МДанные!I62</xm:f>
          </x14:formula2>
          <xm:sqref>D58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МДанные!I65</xm:f>
          </x14:formula2>
          <xm:sqref>D59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МДанные!L8</xm:f>
          </x14:formula2>
          <xm:sqref>D8:D22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МДанные!L24</xm:f>
          </x14:formula2>
          <xm:sqref>D24:D37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МДанные!L39</xm:f>
          </x14:formula2>
          <xm:sqref>D39:D55</xm:sqref>
        </x14:dataValidation>
        <x14:dataValidation type="list" allowBlank="1" showInputMessage="1" showErrorMessage="1">
          <x14:formula1>
            <xm:f>МДанные!$J$106:$J$137</xm:f>
          </x14:formula1>
          <xm:sqref>L39 L41 L43 L45 L47 L49 L51 L53</xm:sqref>
        </x14:dataValidation>
        <x14:dataValidation type="list" allowBlank="1" showInputMessage="1" showErrorMessage="1">
          <x14:formula1>
            <xm:f>МДанные!$J$74:$J$105</xm:f>
          </x14:formula1>
          <xm:sqref>L40 L42 L44 L46 L48 L50 L52 L54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A188"/>
  <sheetViews>
    <sheetView workbookViewId="0">
      <pane ySplit="6" topLeftCell="A7" activePane="bottomLeft" state="frozen"/>
      <selection pane="bottomLeft" activeCell="D8" sqref="D8"/>
    </sheetView>
  </sheetViews>
  <sheetFormatPr defaultRowHeight="15" x14ac:dyDescent="0.25"/>
  <cols>
    <col min="1" max="1" width="1.5703125" customWidth="1"/>
    <col min="2" max="2" width="13.5703125" customWidth="1"/>
    <col min="3" max="3" width="68.5703125" customWidth="1"/>
    <col min="4" max="5" width="11.42578125" customWidth="1"/>
    <col min="6" max="12" width="17.140625" customWidth="1"/>
    <col min="13" max="24" width="14.28515625" customWidth="1"/>
  </cols>
  <sheetData>
    <row r="1" spans="1:26" x14ac:dyDescent="0.25">
      <c r="A1" s="3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0.25" x14ac:dyDescent="0.3">
      <c r="A2" s="3"/>
      <c r="B2" s="2"/>
      <c r="C2" s="475" t="s">
        <v>336</v>
      </c>
      <c r="D2" s="475"/>
      <c r="E2" s="475"/>
      <c r="F2" s="475"/>
      <c r="G2" s="475"/>
      <c r="H2" s="475"/>
      <c r="I2" s="475"/>
      <c r="J2" s="95"/>
      <c r="K2" s="95"/>
      <c r="L2" s="1"/>
      <c r="M2" s="1"/>
      <c r="N2" s="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x14ac:dyDescent="0.25">
      <c r="A3" s="3"/>
      <c r="B3" s="2"/>
      <c r="C3" s="482" t="str">
        <f>IF(МДанные!D197,"",H72)</f>
        <v>Модуль не добавлен в расчет шкафа</v>
      </c>
      <c r="D3" s="482"/>
      <c r="E3" s="482"/>
      <c r="F3" s="482"/>
      <c r="G3" s="482"/>
      <c r="H3" s="482"/>
      <c r="I3" s="482"/>
      <c r="J3" s="187"/>
      <c r="K3" s="187"/>
      <c r="L3" s="46"/>
      <c r="M3" s="46"/>
      <c r="N3" s="46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5">
      <c r="A4" s="3"/>
      <c r="B4" s="2"/>
      <c r="C4" s="2"/>
      <c r="D4" s="2"/>
      <c r="E4" s="1"/>
      <c r="F4" s="2"/>
      <c r="G4" s="2"/>
      <c r="H4" s="2"/>
      <c r="I4" s="2"/>
      <c r="J4" s="2"/>
      <c r="K4" s="449" t="s">
        <v>0</v>
      </c>
      <c r="L4" s="45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5">
      <c r="A5" s="3"/>
      <c r="B5" s="4"/>
      <c r="C5" s="4" t="s">
        <v>784</v>
      </c>
      <c r="D5" s="4"/>
      <c r="E5" s="1"/>
      <c r="F5" s="4"/>
      <c r="G5" s="4"/>
      <c r="H5" s="4"/>
      <c r="I5" s="4"/>
      <c r="J5" s="4"/>
      <c r="K5" s="451"/>
      <c r="L5" s="452"/>
      <c r="M5" s="1"/>
      <c r="N5" s="1"/>
      <c r="O5" s="1"/>
      <c r="P5" s="1"/>
      <c r="Q5" s="1"/>
      <c r="R5" s="1"/>
      <c r="S5" s="1"/>
      <c r="T5" s="1"/>
      <c r="U5" s="1"/>
      <c r="V5" s="1"/>
      <c r="W5" s="3"/>
      <c r="X5" s="3"/>
      <c r="Y5" s="3"/>
      <c r="Z5" s="3"/>
    </row>
    <row r="6" spans="1:26" ht="51" x14ac:dyDescent="0.25">
      <c r="A6" s="3"/>
      <c r="B6" s="468" t="s">
        <v>337</v>
      </c>
      <c r="C6" s="469"/>
      <c r="D6" s="5" t="s">
        <v>1</v>
      </c>
      <c r="E6" s="372" t="s">
        <v>871</v>
      </c>
      <c r="F6" s="5" t="s">
        <v>37</v>
      </c>
      <c r="G6" s="5" t="s">
        <v>38</v>
      </c>
      <c r="H6" s="5" t="s">
        <v>2</v>
      </c>
      <c r="I6" s="5" t="s">
        <v>41</v>
      </c>
      <c r="J6" s="6" t="s">
        <v>39</v>
      </c>
      <c r="K6" s="7" t="s">
        <v>40</v>
      </c>
      <c r="L6" s="25" t="s">
        <v>644</v>
      </c>
      <c r="M6" s="1"/>
      <c r="N6" s="1"/>
      <c r="O6" s="1"/>
      <c r="P6" s="1"/>
      <c r="Q6" s="1"/>
      <c r="R6" s="1"/>
      <c r="S6" s="1"/>
      <c r="T6" s="1"/>
      <c r="U6" s="1"/>
      <c r="V6" s="1"/>
      <c r="W6" s="43"/>
      <c r="X6" s="3"/>
      <c r="Y6" s="3"/>
      <c r="Z6" s="3"/>
    </row>
    <row r="7" spans="1:26" ht="15.75" x14ac:dyDescent="0.25">
      <c r="A7" s="3"/>
      <c r="B7" s="470" t="s">
        <v>3</v>
      </c>
      <c r="C7" s="471"/>
      <c r="D7" s="471"/>
      <c r="E7" s="471"/>
      <c r="F7" s="471"/>
      <c r="G7" s="471"/>
      <c r="H7" s="471"/>
      <c r="I7" s="471"/>
      <c r="J7" s="16"/>
      <c r="K7" s="381"/>
      <c r="L7" s="19"/>
      <c r="M7" s="1"/>
      <c r="N7" s="1"/>
      <c r="O7" s="1"/>
      <c r="P7" s="1"/>
      <c r="Q7" s="1"/>
      <c r="R7" s="1"/>
      <c r="S7" s="1"/>
      <c r="T7" s="1"/>
      <c r="U7" s="1"/>
      <c r="V7" s="1"/>
      <c r="W7" s="3"/>
      <c r="X7" s="3"/>
      <c r="Y7" s="3"/>
      <c r="Z7" s="3"/>
    </row>
    <row r="8" spans="1:26" x14ac:dyDescent="0.25">
      <c r="A8" s="3"/>
      <c r="B8" s="463" t="s">
        <v>4</v>
      </c>
      <c r="C8" s="464"/>
      <c r="D8" s="36">
        <v>0</v>
      </c>
      <c r="E8" s="135">
        <f>MAX(0,MIN(МДанные!AJ8,МДанные!AK8,МДанные!AL8))+D8</f>
        <v>159</v>
      </c>
      <c r="F8" s="8">
        <f>МДанные!E8*МДанные!$D$77</f>
        <v>0.28499999999999998</v>
      </c>
      <c r="G8" s="8">
        <f>МДанные!F8*МДанные!$D$77</f>
        <v>3.3249999999999997</v>
      </c>
      <c r="H8" s="9">
        <f t="shared" ref="H8:H17" si="0">D8*F8</f>
        <v>0</v>
      </c>
      <c r="I8" s="8">
        <f>IF(D8&gt;МДанные!$D$82-МДанные!R8,МДанные!$D$82-МДанные!R8,D8)</f>
        <v>0</v>
      </c>
      <c r="J8" s="9">
        <f t="shared" ref="J8:J22" si="1">I8*G8</f>
        <v>0</v>
      </c>
      <c r="K8" s="10" t="str">
        <f>МДанные!D135</f>
        <v>НЕТ</v>
      </c>
      <c r="L8" s="17"/>
      <c r="M8" s="1"/>
      <c r="N8" s="1"/>
      <c r="O8" s="1"/>
      <c r="P8" s="1"/>
      <c r="Q8" s="1"/>
      <c r="R8" s="1"/>
      <c r="S8" s="1"/>
      <c r="T8" s="1"/>
      <c r="U8" s="1"/>
      <c r="V8" s="1"/>
      <c r="W8" s="44"/>
      <c r="X8" s="3"/>
      <c r="Y8" s="3"/>
      <c r="Z8" s="3"/>
    </row>
    <row r="9" spans="1:26" x14ac:dyDescent="0.25">
      <c r="A9" s="3"/>
      <c r="B9" s="461" t="s">
        <v>5</v>
      </c>
      <c r="C9" s="462"/>
      <c r="D9" s="36">
        <v>0</v>
      </c>
      <c r="E9" s="136">
        <f>MAX(0,MIN(МДанные!AJ9,МДанные!AK9,МДанные!AL9))+D9</f>
        <v>0</v>
      </c>
      <c r="F9" s="11">
        <f>(МДанные!E9+МДанные!J9)*МДанные!$D$77</f>
        <v>0.33249999999999996</v>
      </c>
      <c r="G9" s="11">
        <f>МДанные!F9*МДанные!$D$77</f>
        <v>3.3249999999999997</v>
      </c>
      <c r="H9" s="12">
        <f t="shared" si="0"/>
        <v>0</v>
      </c>
      <c r="I9" s="11">
        <f>IF(D9&gt;МДанные!$D$82-МДанные!R9,МДанные!$D$82-МДанные!R9,D9)</f>
        <v>0</v>
      </c>
      <c r="J9" s="12">
        <f t="shared" si="1"/>
        <v>0</v>
      </c>
      <c r="K9" s="13">
        <f>D9</f>
        <v>0</v>
      </c>
      <c r="L9" s="18"/>
      <c r="M9" s="1"/>
      <c r="N9" s="1"/>
      <c r="O9" s="1"/>
      <c r="P9" s="1"/>
      <c r="Q9" s="1"/>
      <c r="R9" s="1"/>
      <c r="S9" s="1"/>
      <c r="T9" s="1"/>
      <c r="U9" s="1"/>
      <c r="V9" s="1"/>
      <c r="W9" s="44"/>
      <c r="X9" s="3"/>
      <c r="Y9" s="3"/>
      <c r="Z9" s="3"/>
    </row>
    <row r="10" spans="1:26" x14ac:dyDescent="0.25">
      <c r="A10" s="3"/>
      <c r="B10" s="463" t="s">
        <v>6</v>
      </c>
      <c r="C10" s="464"/>
      <c r="D10" s="36">
        <v>0</v>
      </c>
      <c r="E10" s="135">
        <f>MAX(0,MIN(МДанные!AJ10,МДанные!AK10,МДанные!AL10))+D10</f>
        <v>159</v>
      </c>
      <c r="F10" s="8">
        <f>МДанные!E10*МДанные!$D$77</f>
        <v>0.28499999999999998</v>
      </c>
      <c r="G10" s="8">
        <f>МДанные!F10*МДанные!$D$77</f>
        <v>3.3249999999999997</v>
      </c>
      <c r="H10" s="9">
        <f t="shared" si="0"/>
        <v>0</v>
      </c>
      <c r="I10" s="8">
        <f>IF(D10&gt;МДанные!$D$82-МДанные!R10,МДанные!$D$82-МДанные!R10,D10)</f>
        <v>0</v>
      </c>
      <c r="J10" s="9">
        <f t="shared" si="1"/>
        <v>0</v>
      </c>
      <c r="K10" s="10" t="str">
        <f>МДанные!D135</f>
        <v>НЕТ</v>
      </c>
      <c r="L10" s="18"/>
      <c r="M10" s="1"/>
      <c r="N10" s="1"/>
      <c r="O10" s="1"/>
      <c r="P10" s="1"/>
      <c r="Q10" s="1"/>
      <c r="R10" s="1"/>
      <c r="S10" s="1"/>
      <c r="T10" s="1"/>
      <c r="U10" s="1"/>
      <c r="V10" s="1"/>
      <c r="W10" s="44"/>
      <c r="X10" s="3"/>
      <c r="Y10" s="3"/>
      <c r="Z10" s="3"/>
    </row>
    <row r="11" spans="1:26" x14ac:dyDescent="0.25">
      <c r="A11" s="3"/>
      <c r="B11" s="461" t="s">
        <v>7</v>
      </c>
      <c r="C11" s="462"/>
      <c r="D11" s="36">
        <v>0</v>
      </c>
      <c r="E11" s="136">
        <f>MAX(0,MIN(МДанные!AJ11,МДанные!AK11,МДанные!AL11))+D11</f>
        <v>0</v>
      </c>
      <c r="F11" s="11">
        <f>(МДанные!E11+МДанные!J11)*МДанные!$D$77</f>
        <v>0.33249999999999996</v>
      </c>
      <c r="G11" s="11">
        <f>МДанные!F11*МДанные!$D$77</f>
        <v>3.3249999999999997</v>
      </c>
      <c r="H11" s="12">
        <f t="shared" si="0"/>
        <v>0</v>
      </c>
      <c r="I11" s="11">
        <f>IF(D11&gt;МДанные!$D$82-МДанные!R11,МДанные!$D$82-МДанные!R11,D11)</f>
        <v>0</v>
      </c>
      <c r="J11" s="12">
        <f t="shared" si="1"/>
        <v>0</v>
      </c>
      <c r="K11" s="13">
        <f>D11</f>
        <v>0</v>
      </c>
      <c r="L11" s="18"/>
      <c r="M11" s="1"/>
      <c r="N11" s="1"/>
      <c r="O11" s="1"/>
      <c r="P11" s="1"/>
      <c r="Q11" s="1"/>
      <c r="R11" s="1"/>
      <c r="S11" s="1"/>
      <c r="T11" s="1"/>
      <c r="U11" s="1"/>
      <c r="V11" s="1"/>
      <c r="W11" s="44"/>
      <c r="X11" s="3"/>
      <c r="Y11" s="3"/>
      <c r="Z11" s="3"/>
    </row>
    <row r="12" spans="1:26" x14ac:dyDescent="0.25">
      <c r="A12" s="3"/>
      <c r="B12" s="463" t="s">
        <v>8</v>
      </c>
      <c r="C12" s="464"/>
      <c r="D12" s="36">
        <v>0</v>
      </c>
      <c r="E12" s="135">
        <f>MAX(0,MIN(МДанные!AJ12,МДанные!AK12,МДанные!AL12))+D12</f>
        <v>159</v>
      </c>
      <c r="F12" s="8">
        <f>МДанные!E12*МДанные!$D$77</f>
        <v>0.28499999999999998</v>
      </c>
      <c r="G12" s="8">
        <f>МДанные!F12*МДанные!$D$77</f>
        <v>3.3249999999999997</v>
      </c>
      <c r="H12" s="9">
        <f t="shared" si="0"/>
        <v>0</v>
      </c>
      <c r="I12" s="8">
        <f>IF(D12&gt;МДанные!$D$82-МДанные!R12,МДанные!$D$82-МДанные!R12,D12)</f>
        <v>0</v>
      </c>
      <c r="J12" s="9">
        <f t="shared" si="1"/>
        <v>0</v>
      </c>
      <c r="K12" s="10" t="str">
        <f>МДанные!D135</f>
        <v>НЕТ</v>
      </c>
      <c r="L12" s="18"/>
      <c r="M12" s="1"/>
      <c r="N12" s="1"/>
      <c r="O12" s="1"/>
      <c r="P12" s="1"/>
      <c r="Q12" s="1"/>
      <c r="R12" s="1"/>
      <c r="S12" s="1"/>
      <c r="T12" s="1"/>
      <c r="U12" s="1"/>
      <c r="V12" s="1"/>
      <c r="W12" s="44"/>
      <c r="X12" s="3"/>
      <c r="Y12" s="3"/>
      <c r="Z12" s="3"/>
    </row>
    <row r="13" spans="1:26" x14ac:dyDescent="0.25">
      <c r="A13" s="3"/>
      <c r="B13" s="461" t="s">
        <v>9</v>
      </c>
      <c r="C13" s="462"/>
      <c r="D13" s="36">
        <v>0</v>
      </c>
      <c r="E13" s="136">
        <f>MAX(0,MIN(МДанные!AJ13,МДанные!AK13,МДанные!AL13))+D13</f>
        <v>0</v>
      </c>
      <c r="F13" s="11">
        <f>(МДанные!E13+МДанные!J13)*МДанные!$D$77</f>
        <v>0.33249999999999996</v>
      </c>
      <c r="G13" s="11">
        <f>МДанные!F13*МДанные!$D$77</f>
        <v>3.3249999999999997</v>
      </c>
      <c r="H13" s="12">
        <f t="shared" si="0"/>
        <v>0</v>
      </c>
      <c r="I13" s="11">
        <f>IF(D13&gt;МДанные!$D$82-МДанные!R13,МДанные!$D$82-МДанные!R13,D13)</f>
        <v>0</v>
      </c>
      <c r="J13" s="12">
        <f t="shared" si="1"/>
        <v>0</v>
      </c>
      <c r="K13" s="13">
        <f>D13</f>
        <v>0</v>
      </c>
      <c r="L13" s="18"/>
      <c r="M13" s="1"/>
      <c r="N13" s="1"/>
      <c r="O13" s="1"/>
      <c r="P13" s="1"/>
      <c r="Q13" s="1"/>
      <c r="R13" s="1"/>
      <c r="S13" s="1"/>
      <c r="T13" s="1"/>
      <c r="U13" s="1"/>
      <c r="V13" s="1"/>
      <c r="W13" s="44"/>
      <c r="X13" s="3"/>
      <c r="Y13" s="3"/>
      <c r="Z13" s="3"/>
    </row>
    <row r="14" spans="1:26" x14ac:dyDescent="0.25">
      <c r="A14" s="3"/>
      <c r="B14" s="463" t="s">
        <v>10</v>
      </c>
      <c r="C14" s="464"/>
      <c r="D14" s="36">
        <v>0</v>
      </c>
      <c r="E14" s="135">
        <f>MAX(0,MIN(МДанные!AJ14,МДанные!AK14,МДанные!AL14))+D14</f>
        <v>159</v>
      </c>
      <c r="F14" s="8">
        <f>МДанные!E14*МДанные!$D$77</f>
        <v>0.28499999999999998</v>
      </c>
      <c r="G14" s="8">
        <f>МДанные!F14*МДанные!$D$77</f>
        <v>3.3249999999999997</v>
      </c>
      <c r="H14" s="9">
        <f t="shared" si="0"/>
        <v>0</v>
      </c>
      <c r="I14" s="8">
        <f>IF(D14&gt;МДанные!$D$82-МДанные!R14,МДанные!$D$82-МДанные!R14,D14)</f>
        <v>0</v>
      </c>
      <c r="J14" s="9">
        <f t="shared" si="1"/>
        <v>0</v>
      </c>
      <c r="K14" s="10" t="str">
        <f>МДанные!D135</f>
        <v>НЕТ</v>
      </c>
      <c r="L14" s="18"/>
      <c r="M14" s="1"/>
      <c r="N14" s="1"/>
      <c r="O14" s="1"/>
      <c r="P14" s="1"/>
      <c r="Q14" s="1"/>
      <c r="R14" s="1"/>
      <c r="S14" s="1"/>
      <c r="T14" s="1"/>
      <c r="U14" s="1"/>
      <c r="V14" s="1"/>
      <c r="W14" s="44"/>
      <c r="X14" s="3"/>
      <c r="Y14" s="3"/>
      <c r="Z14" s="3"/>
    </row>
    <row r="15" spans="1:26" x14ac:dyDescent="0.25">
      <c r="A15" s="3"/>
      <c r="B15" s="461" t="s">
        <v>11</v>
      </c>
      <c r="C15" s="462"/>
      <c r="D15" s="36">
        <v>0</v>
      </c>
      <c r="E15" s="136">
        <f>MAX(0,MIN(МДанные!AJ15,МДанные!AK15,МДанные!AL15))+D15</f>
        <v>0</v>
      </c>
      <c r="F15" s="11">
        <f>(МДанные!E15+МДанные!J15)*МДанные!$D$77</f>
        <v>0.33249999999999996</v>
      </c>
      <c r="G15" s="11">
        <f>МДанные!F15*МДанные!$D$77</f>
        <v>3.3249999999999997</v>
      </c>
      <c r="H15" s="12">
        <f t="shared" si="0"/>
        <v>0</v>
      </c>
      <c r="I15" s="11">
        <f>IF(D15&gt;МДанные!$D$82-МДанные!R15,МДанные!$D$82-МДанные!R15,D15)</f>
        <v>0</v>
      </c>
      <c r="J15" s="12">
        <f t="shared" si="1"/>
        <v>0</v>
      </c>
      <c r="K15" s="13">
        <f>D15</f>
        <v>0</v>
      </c>
      <c r="L15" s="18"/>
      <c r="M15" s="1"/>
      <c r="N15" s="1"/>
      <c r="O15" s="1"/>
      <c r="P15" s="1"/>
      <c r="Q15" s="1"/>
      <c r="R15" s="1"/>
      <c r="S15" s="1"/>
      <c r="T15" s="1"/>
      <c r="U15" s="1"/>
      <c r="V15" s="1"/>
      <c r="W15" s="44"/>
      <c r="X15" s="3"/>
      <c r="Y15" s="3"/>
      <c r="Z15" s="3"/>
    </row>
    <row r="16" spans="1:26" x14ac:dyDescent="0.25">
      <c r="A16" s="3"/>
      <c r="B16" s="463" t="s">
        <v>12</v>
      </c>
      <c r="C16" s="464"/>
      <c r="D16" s="36">
        <v>0</v>
      </c>
      <c r="E16" s="135">
        <f>MAX(0,MIN(МДанные!AJ16,МДанные!AK16,МДанные!AL16))+D16</f>
        <v>159</v>
      </c>
      <c r="F16" s="8">
        <f>МДанные!E16*МДанные!$D$77</f>
        <v>0.28499999999999998</v>
      </c>
      <c r="G16" s="8">
        <f>МДанные!F16*МДанные!$D$77</f>
        <v>3.3249999999999997</v>
      </c>
      <c r="H16" s="9">
        <f t="shared" si="0"/>
        <v>0</v>
      </c>
      <c r="I16" s="8">
        <f>IF(D16&gt;МДанные!$D$82-МДанные!R16,МДанные!$D$82-МДанные!R16,D16)</f>
        <v>0</v>
      </c>
      <c r="J16" s="9">
        <f t="shared" si="1"/>
        <v>0</v>
      </c>
      <c r="K16" s="10" t="str">
        <f>МДанные!D135</f>
        <v>НЕТ</v>
      </c>
      <c r="L16" s="18"/>
      <c r="M16" s="1"/>
      <c r="N16" s="1"/>
      <c r="O16" s="1"/>
      <c r="P16" s="1"/>
      <c r="Q16" s="1"/>
      <c r="R16" s="1"/>
      <c r="S16" s="1"/>
      <c r="T16" s="1"/>
      <c r="U16" s="1"/>
      <c r="V16" s="1"/>
      <c r="W16" s="44"/>
      <c r="X16" s="3"/>
      <c r="Y16" s="3"/>
      <c r="Z16" s="3"/>
    </row>
    <row r="17" spans="1:26" x14ac:dyDescent="0.25">
      <c r="A17" s="3"/>
      <c r="B17" s="461" t="s">
        <v>13</v>
      </c>
      <c r="C17" s="462"/>
      <c r="D17" s="36">
        <v>0</v>
      </c>
      <c r="E17" s="136">
        <f>MAX(0,MIN(МДанные!AJ17,МДанные!AK17,МДанные!AL17))+D17</f>
        <v>0</v>
      </c>
      <c r="F17" s="11">
        <f>(МДанные!E17+МДанные!J17)*МДанные!$D$77</f>
        <v>0.33249999999999996</v>
      </c>
      <c r="G17" s="11">
        <f>МДанные!F17*МДанные!$D$77</f>
        <v>3.3249999999999997</v>
      </c>
      <c r="H17" s="12">
        <f t="shared" si="0"/>
        <v>0</v>
      </c>
      <c r="I17" s="11">
        <f>IF(D17&gt;МДанные!$D$82-МДанные!R17,МДанные!$D$82-МДанные!R17,D17)</f>
        <v>0</v>
      </c>
      <c r="J17" s="12">
        <f t="shared" si="1"/>
        <v>0</v>
      </c>
      <c r="K17" s="13">
        <f>D17</f>
        <v>0</v>
      </c>
      <c r="L17" s="18"/>
      <c r="M17" s="1"/>
      <c r="N17" s="1"/>
      <c r="O17" s="1"/>
      <c r="P17" s="1"/>
      <c r="Q17" s="1"/>
      <c r="R17" s="1"/>
      <c r="S17" s="1"/>
      <c r="T17" s="1"/>
      <c r="U17" s="1"/>
      <c r="V17" s="1"/>
      <c r="W17" s="44"/>
      <c r="X17" s="3"/>
      <c r="Y17" s="3"/>
      <c r="Z17" s="3"/>
    </row>
    <row r="18" spans="1:26" x14ac:dyDescent="0.25">
      <c r="A18" s="3"/>
      <c r="B18" s="463" t="s">
        <v>14</v>
      </c>
      <c r="C18" s="464"/>
      <c r="D18" s="36">
        <v>0</v>
      </c>
      <c r="E18" s="135">
        <f>MAX(0,MIN(МДанные!AJ18,МДанные!AK18,МДанные!AL18))+D18</f>
        <v>100</v>
      </c>
      <c r="F18" s="8">
        <f>МДанные!E18*МДанные!$D$77</f>
        <v>1.9</v>
      </c>
      <c r="G18" s="8">
        <f>МДанные!F18*МДанные!$D$77</f>
        <v>6.1749999999999998</v>
      </c>
      <c r="H18" s="9">
        <f>F18*D18+МДанные!J18*МДанные!U18</f>
        <v>0</v>
      </c>
      <c r="I18" s="8">
        <f>IF(D18&gt;МДанные!$D$82-МДанные!R18,МДанные!$D$82-МДанные!R18,D18)</f>
        <v>0</v>
      </c>
      <c r="J18" s="9">
        <f t="shared" si="1"/>
        <v>0</v>
      </c>
      <c r="K18" s="38">
        <v>0</v>
      </c>
      <c r="L18" s="18"/>
      <c r="M18" s="1"/>
      <c r="N18" s="1"/>
      <c r="O18" s="1"/>
      <c r="P18" s="1"/>
      <c r="Q18" s="1"/>
      <c r="R18" s="1"/>
      <c r="S18" s="1"/>
      <c r="T18" s="1"/>
      <c r="U18" s="1"/>
      <c r="V18" s="1"/>
      <c r="W18" s="44"/>
      <c r="X18" s="3"/>
      <c r="Y18" s="3"/>
      <c r="Z18" s="3"/>
    </row>
    <row r="19" spans="1:26" x14ac:dyDescent="0.25">
      <c r="A19" s="3"/>
      <c r="B19" s="461" t="s">
        <v>15</v>
      </c>
      <c r="C19" s="462"/>
      <c r="D19" s="36">
        <v>0</v>
      </c>
      <c r="E19" s="136">
        <f>MAX(0,MIN(МДанные!AJ19,МДанные!AK19,МДанные!AL19))+D19</f>
        <v>0</v>
      </c>
      <c r="F19" s="11">
        <f>МДанные!E19*МДанные!$D$77</f>
        <v>0.3135</v>
      </c>
      <c r="G19" s="11">
        <f>МДанные!F19*МДанные!$D$77</f>
        <v>3.04</v>
      </c>
      <c r="H19" s="12">
        <f>D19*F19</f>
        <v>0</v>
      </c>
      <c r="I19" s="11">
        <f>D19</f>
        <v>0</v>
      </c>
      <c r="J19" s="12">
        <f t="shared" si="1"/>
        <v>0</v>
      </c>
      <c r="K19" s="13" t="str">
        <f>МДанные!D135</f>
        <v>НЕТ</v>
      </c>
      <c r="L19" s="18"/>
      <c r="M19" s="1"/>
      <c r="N19" s="1"/>
      <c r="O19" s="1"/>
      <c r="P19" s="1"/>
      <c r="Q19" s="1"/>
      <c r="R19" s="1"/>
      <c r="S19" s="1"/>
      <c r="T19" s="1"/>
      <c r="U19" s="1"/>
      <c r="V19" s="1"/>
      <c r="W19" s="44"/>
      <c r="X19" s="3"/>
      <c r="Y19" s="3"/>
      <c r="Z19" s="3"/>
    </row>
    <row r="20" spans="1:26" x14ac:dyDescent="0.25">
      <c r="A20" s="3"/>
      <c r="B20" s="463" t="s">
        <v>16</v>
      </c>
      <c r="C20" s="464"/>
      <c r="D20" s="36">
        <v>0</v>
      </c>
      <c r="E20" s="135">
        <f>MAX(0,MIN(МДанные!AJ20,МДанные!AK20,МДанные!AL20))+D20</f>
        <v>99</v>
      </c>
      <c r="F20" s="8">
        <f>МДанные!E20*МДанные!$D$77</f>
        <v>0.437</v>
      </c>
      <c r="G20" s="8">
        <f>МДанные!F20*МДанные!$D$77</f>
        <v>0</v>
      </c>
      <c r="H20" s="9">
        <f>F20*D20+МДанные!J20*МДанные!U20</f>
        <v>0</v>
      </c>
      <c r="I20" s="8">
        <v>0</v>
      </c>
      <c r="J20" s="9">
        <f t="shared" si="1"/>
        <v>0</v>
      </c>
      <c r="K20" s="39">
        <v>0</v>
      </c>
      <c r="L20" s="18"/>
      <c r="M20" s="1"/>
      <c r="N20" s="1"/>
      <c r="O20" s="1"/>
      <c r="P20" s="1"/>
      <c r="Q20" s="1"/>
      <c r="R20" s="1"/>
      <c r="S20" s="1"/>
      <c r="T20" s="1"/>
      <c r="U20" s="1"/>
      <c r="V20" s="1"/>
      <c r="W20" s="44"/>
      <c r="X20" s="3"/>
      <c r="Y20" s="3"/>
      <c r="Z20" s="3"/>
    </row>
    <row r="21" spans="1:26" x14ac:dyDescent="0.25">
      <c r="A21" s="3"/>
      <c r="B21" s="461" t="s">
        <v>17</v>
      </c>
      <c r="C21" s="462"/>
      <c r="D21" s="36">
        <v>0</v>
      </c>
      <c r="E21" s="136">
        <f>MAX(0,MIN(МДанные!AJ21,МДанные!AK21,МДанные!AL21))+D21</f>
        <v>49</v>
      </c>
      <c r="F21" s="11">
        <f>МДанные!E21*МДанные!$D$77</f>
        <v>0.66499999999999992</v>
      </c>
      <c r="G21" s="11">
        <f>МДанные!F21*МДанные!$D$77</f>
        <v>0</v>
      </c>
      <c r="H21" s="12">
        <f>F21*D21+МДанные!J21*МДанные!U21</f>
        <v>0</v>
      </c>
      <c r="I21" s="11">
        <v>0</v>
      </c>
      <c r="J21" s="12">
        <f t="shared" si="1"/>
        <v>0</v>
      </c>
      <c r="K21" s="39">
        <v>0</v>
      </c>
      <c r="L21" s="18"/>
      <c r="M21" s="1"/>
      <c r="N21" s="1"/>
      <c r="O21" s="1"/>
      <c r="P21" s="1"/>
      <c r="Q21" s="1"/>
      <c r="R21" s="1"/>
      <c r="S21" s="1"/>
      <c r="T21" s="1"/>
      <c r="U21" s="1"/>
      <c r="V21" s="1"/>
      <c r="W21" s="44"/>
      <c r="X21" s="3"/>
      <c r="Y21" s="3"/>
      <c r="Z21" s="3"/>
    </row>
    <row r="22" spans="1:26" x14ac:dyDescent="0.25">
      <c r="A22" s="3"/>
      <c r="B22" s="463" t="s">
        <v>18</v>
      </c>
      <c r="C22" s="464"/>
      <c r="D22" s="36">
        <v>0</v>
      </c>
      <c r="E22" s="135">
        <f>MAX(0,MIN(МДанные!AJ22,МДанные!AK22,МДанные!AL22))+D22</f>
        <v>49</v>
      </c>
      <c r="F22" s="8">
        <f>МДанные!E22*МДанные!$D$77</f>
        <v>0.66499999999999992</v>
      </c>
      <c r="G22" s="8">
        <f>МДанные!F22*МДанные!$D$77</f>
        <v>0</v>
      </c>
      <c r="H22" s="9">
        <f>F22*D22+МДанные!J22*МДанные!U22</f>
        <v>0</v>
      </c>
      <c r="I22" s="8">
        <v>0</v>
      </c>
      <c r="J22" s="9">
        <f t="shared" si="1"/>
        <v>0</v>
      </c>
      <c r="K22" s="40">
        <v>0</v>
      </c>
      <c r="L22" s="152"/>
      <c r="M22" s="1"/>
      <c r="N22" s="1"/>
      <c r="O22" s="1"/>
      <c r="P22" s="1"/>
      <c r="Q22" s="1"/>
      <c r="R22" s="1"/>
      <c r="S22" s="1"/>
      <c r="T22" s="1"/>
      <c r="U22" s="1"/>
      <c r="V22" s="1"/>
      <c r="W22" s="44"/>
      <c r="X22" s="3"/>
      <c r="Y22" s="3"/>
      <c r="Z22" s="3"/>
    </row>
    <row r="23" spans="1:26" ht="15.75" x14ac:dyDescent="0.25">
      <c r="A23" s="3"/>
      <c r="B23" s="472" t="s">
        <v>19</v>
      </c>
      <c r="C23" s="473"/>
      <c r="D23" s="473"/>
      <c r="E23" s="473"/>
      <c r="F23" s="473"/>
      <c r="G23" s="473"/>
      <c r="H23" s="473"/>
      <c r="I23" s="473"/>
      <c r="J23" s="26"/>
      <c r="K23" s="382"/>
      <c r="L23" s="19"/>
      <c r="M23" s="1"/>
      <c r="N23" s="1"/>
      <c r="O23" s="1"/>
      <c r="P23" s="1"/>
      <c r="Q23" s="1"/>
      <c r="R23" s="1"/>
      <c r="S23" s="1"/>
      <c r="T23" s="1"/>
      <c r="U23" s="1"/>
      <c r="V23" s="1"/>
      <c r="W23" s="44"/>
      <c r="X23" s="3"/>
      <c r="Y23" s="3"/>
      <c r="Z23" s="3"/>
    </row>
    <row r="24" spans="1:26" x14ac:dyDescent="0.25">
      <c r="A24" s="3"/>
      <c r="B24" s="461" t="s">
        <v>20</v>
      </c>
      <c r="C24" s="462"/>
      <c r="D24" s="36">
        <v>0</v>
      </c>
      <c r="E24" s="374">
        <f>MAX(0,MIN(МДанные!AJ24,МДанные!AK24,МДанные!AL24))+D24</f>
        <v>159</v>
      </c>
      <c r="F24" s="11">
        <f>МДанные!E24*МДанные!$D$77</f>
        <v>0.627</v>
      </c>
      <c r="G24" s="11">
        <f>МДанные!F24*МДанные!$D$77</f>
        <v>1.71</v>
      </c>
      <c r="H24" s="12">
        <f t="shared" ref="H24:H29" si="2">D24*F24</f>
        <v>0</v>
      </c>
      <c r="I24" s="11">
        <f>IF(D24&gt;МДанные!$D$82-МДанные!R24,МДанные!$D$82-МДанные!R24,D24)</f>
        <v>0</v>
      </c>
      <c r="J24" s="12">
        <f t="shared" ref="J24:J35" si="3">I24*G24</f>
        <v>0</v>
      </c>
      <c r="K24" s="15" t="str">
        <f>МДанные!D135</f>
        <v>НЕТ</v>
      </c>
      <c r="L24" s="17"/>
      <c r="M24" s="1"/>
      <c r="N24" s="1"/>
      <c r="O24" s="1"/>
      <c r="P24" s="1"/>
      <c r="Q24" s="1"/>
      <c r="R24" s="1"/>
      <c r="S24" s="1"/>
      <c r="T24" s="1"/>
      <c r="U24" s="1"/>
      <c r="V24" s="1"/>
      <c r="W24" s="44"/>
      <c r="X24" s="3"/>
      <c r="Y24" s="3"/>
      <c r="Z24" s="3"/>
    </row>
    <row r="25" spans="1:26" x14ac:dyDescent="0.25">
      <c r="A25" s="3"/>
      <c r="B25" s="463" t="s">
        <v>21</v>
      </c>
      <c r="C25" s="464"/>
      <c r="D25" s="36">
        <v>0</v>
      </c>
      <c r="E25" s="373">
        <f>MAX(0,MIN(МДанные!AJ25,МДанные!AK25,МДанные!AL25))+D25</f>
        <v>0</v>
      </c>
      <c r="F25" s="8">
        <f>(МДанные!E25+МДанные!J25)*МДанные!$D$77</f>
        <v>0.67449999999999999</v>
      </c>
      <c r="G25" s="8">
        <f>МДанные!F25*МДанные!$D$77</f>
        <v>1.71</v>
      </c>
      <c r="H25" s="9">
        <f t="shared" si="2"/>
        <v>0</v>
      </c>
      <c r="I25" s="8">
        <f>IF(D25&gt;МДанные!$D$82-МДанные!R25,МДанные!$D$82-МДанные!R25,D25)</f>
        <v>0</v>
      </c>
      <c r="J25" s="9">
        <f t="shared" si="3"/>
        <v>0</v>
      </c>
      <c r="K25" s="14">
        <f>D25</f>
        <v>0</v>
      </c>
      <c r="L25" s="18"/>
      <c r="M25" s="1"/>
      <c r="N25" s="1"/>
      <c r="O25" s="1"/>
      <c r="P25" s="1"/>
      <c r="Q25" s="1"/>
      <c r="R25" s="1"/>
      <c r="S25" s="1"/>
      <c r="T25" s="1"/>
      <c r="U25" s="1"/>
      <c r="V25" s="1"/>
      <c r="W25" s="44"/>
      <c r="X25" s="3"/>
      <c r="Y25" s="3"/>
      <c r="Z25" s="3"/>
    </row>
    <row r="26" spans="1:26" x14ac:dyDescent="0.25">
      <c r="A26" s="3"/>
      <c r="B26" s="461" t="s">
        <v>22</v>
      </c>
      <c r="C26" s="462"/>
      <c r="D26" s="36">
        <v>0</v>
      </c>
      <c r="E26" s="374">
        <f>MAX(0,MIN(МДанные!AJ26,МДанные!AK26,МДанные!AL26))+D26</f>
        <v>159</v>
      </c>
      <c r="F26" s="11">
        <f>МДанные!E26*МДанные!$D$77</f>
        <v>0.627</v>
      </c>
      <c r="G26" s="11">
        <f>МДанные!F26*МДанные!$D$77</f>
        <v>1.71</v>
      </c>
      <c r="H26" s="12">
        <f t="shared" si="2"/>
        <v>0</v>
      </c>
      <c r="I26" s="11">
        <f>IF(D26&gt;МДанные!$D$82-МДанные!R26,МДанные!$D$82-МДанные!R26,D26)</f>
        <v>0</v>
      </c>
      <c r="J26" s="12">
        <f t="shared" si="3"/>
        <v>0</v>
      </c>
      <c r="K26" s="15" t="str">
        <f>МДанные!D135</f>
        <v>НЕТ</v>
      </c>
      <c r="L26" s="18"/>
      <c r="M26" s="1"/>
      <c r="N26" s="1"/>
      <c r="O26" s="1"/>
      <c r="P26" s="1"/>
      <c r="Q26" s="1"/>
      <c r="R26" s="1"/>
      <c r="S26" s="1"/>
      <c r="T26" s="1"/>
      <c r="U26" s="1"/>
      <c r="V26" s="1"/>
      <c r="W26" s="44"/>
      <c r="X26" s="3"/>
      <c r="Y26" s="3"/>
      <c r="Z26" s="3"/>
    </row>
    <row r="27" spans="1:26" x14ac:dyDescent="0.25">
      <c r="A27" s="3"/>
      <c r="B27" s="463" t="s">
        <v>23</v>
      </c>
      <c r="C27" s="464"/>
      <c r="D27" s="36">
        <v>0</v>
      </c>
      <c r="E27" s="373">
        <f>MAX(0,MIN(МДанные!AJ27,МДанные!AK27,МДанные!AL27))+D27</f>
        <v>0</v>
      </c>
      <c r="F27" s="8">
        <f>(МДанные!E27+МДанные!J27)*МДанные!$D$77</f>
        <v>0.67449999999999999</v>
      </c>
      <c r="G27" s="8">
        <f>МДанные!F27*МДанные!$D$77</f>
        <v>1.71</v>
      </c>
      <c r="H27" s="9">
        <f t="shared" si="2"/>
        <v>0</v>
      </c>
      <c r="I27" s="8">
        <f>IF(D27&gt;МДанные!$D$82-МДанные!R27,МДанные!$D$82-МДанные!R27,D27)</f>
        <v>0</v>
      </c>
      <c r="J27" s="9">
        <f t="shared" si="3"/>
        <v>0</v>
      </c>
      <c r="K27" s="14">
        <f>D27</f>
        <v>0</v>
      </c>
      <c r="L27" s="18"/>
      <c r="M27" s="1"/>
      <c r="N27" s="1"/>
      <c r="O27" s="1"/>
      <c r="P27" s="1"/>
      <c r="Q27" s="1"/>
      <c r="R27" s="1"/>
      <c r="S27" s="1"/>
      <c r="T27" s="1"/>
      <c r="U27" s="1"/>
      <c r="V27" s="1"/>
      <c r="W27" s="44"/>
      <c r="X27" s="3"/>
      <c r="Y27" s="3"/>
      <c r="Z27" s="3"/>
    </row>
    <row r="28" spans="1:26" x14ac:dyDescent="0.25">
      <c r="A28" s="3"/>
      <c r="B28" s="461" t="s">
        <v>24</v>
      </c>
      <c r="C28" s="462"/>
      <c r="D28" s="37">
        <v>0</v>
      </c>
      <c r="E28" s="374">
        <f>MAX(0,MIN(МДанные!AJ28,МДанные!AK28,МДанные!AL28))+D28</f>
        <v>159</v>
      </c>
      <c r="F28" s="11">
        <f>МДанные!E28*МДанные!$D$77</f>
        <v>0.627</v>
      </c>
      <c r="G28" s="11">
        <f>МДанные!F28*МДанные!$D$77</f>
        <v>1.71</v>
      </c>
      <c r="H28" s="12">
        <f t="shared" si="2"/>
        <v>0</v>
      </c>
      <c r="I28" s="11">
        <f>IF(D28&gt;МДанные!$D$82-МДанные!R28,МДанные!$D$82-МДанные!R28,D28)</f>
        <v>0</v>
      </c>
      <c r="J28" s="12">
        <f t="shared" si="3"/>
        <v>0</v>
      </c>
      <c r="K28" s="15" t="str">
        <f>МДанные!D135</f>
        <v>НЕТ</v>
      </c>
      <c r="L28" s="18"/>
      <c r="M28" s="1"/>
      <c r="N28" s="1"/>
      <c r="O28" s="1"/>
      <c r="P28" s="1"/>
      <c r="Q28" s="1"/>
      <c r="R28" s="1"/>
      <c r="S28" s="1"/>
      <c r="T28" s="1"/>
      <c r="U28" s="1"/>
      <c r="V28" s="1"/>
      <c r="W28" s="44"/>
      <c r="X28" s="3"/>
      <c r="Y28" s="3"/>
      <c r="Z28" s="3"/>
    </row>
    <row r="29" spans="1:26" x14ac:dyDescent="0.25">
      <c r="A29" s="3"/>
      <c r="B29" s="463" t="s">
        <v>25</v>
      </c>
      <c r="C29" s="464"/>
      <c r="D29" s="36">
        <v>0</v>
      </c>
      <c r="E29" s="373">
        <f>MAX(0,MIN(МДанные!AJ29,МДанные!AK29,МДанные!AL29))+D29</f>
        <v>0</v>
      </c>
      <c r="F29" s="8">
        <f>(МДанные!E29+МДанные!J29)*МДанные!$D$77</f>
        <v>0.67449999999999999</v>
      </c>
      <c r="G29" s="8">
        <f>МДанные!F29*МДанные!$D$77</f>
        <v>1.71</v>
      </c>
      <c r="H29" s="9">
        <f t="shared" si="2"/>
        <v>0</v>
      </c>
      <c r="I29" s="8">
        <f>IF(D29&gt;МДанные!$D$82-МДанные!R29,МДанные!$D$82-МДанные!R29,D29)</f>
        <v>0</v>
      </c>
      <c r="J29" s="9">
        <f t="shared" si="3"/>
        <v>0</v>
      </c>
      <c r="K29" s="14">
        <f>D29</f>
        <v>0</v>
      </c>
      <c r="L29" s="18"/>
      <c r="M29" s="1"/>
      <c r="N29" s="1"/>
      <c r="O29" s="1"/>
      <c r="P29" s="1"/>
      <c r="Q29" s="1"/>
      <c r="R29" s="1"/>
      <c r="S29" s="1"/>
      <c r="T29" s="1"/>
      <c r="U29" s="1"/>
      <c r="V29" s="1"/>
      <c r="W29" s="44"/>
      <c r="X29" s="3"/>
      <c r="Y29" s="3"/>
      <c r="Z29" s="3"/>
    </row>
    <row r="30" spans="1:26" x14ac:dyDescent="0.25">
      <c r="A30" s="3"/>
      <c r="B30" s="461" t="s">
        <v>26</v>
      </c>
      <c r="C30" s="462"/>
      <c r="D30" s="36">
        <v>0</v>
      </c>
      <c r="E30" s="374">
        <f>MAX(0,MIN(МДанные!AJ30,МДанные!AK30,МДанные!AL30))+D30</f>
        <v>159</v>
      </c>
      <c r="F30" s="11">
        <f>МДанные!E30*МДанные!$D$77</f>
        <v>0.43224999999999997</v>
      </c>
      <c r="G30" s="11">
        <f>МДанные!F30*МДанные!$D$77</f>
        <v>1.9</v>
      </c>
      <c r="H30" s="12">
        <f>F30*D30+МДанные!J30*МДанные!U30</f>
        <v>0</v>
      </c>
      <c r="I30" s="11">
        <f>IF(D30&gt;МДанные!$D$82-МДанные!R30,МДанные!$D$82-МДанные!R30,D30)</f>
        <v>0</v>
      </c>
      <c r="J30" s="12">
        <f t="shared" si="3"/>
        <v>0</v>
      </c>
      <c r="K30" s="39">
        <v>0</v>
      </c>
      <c r="L30" s="161">
        <f>ШДанные!C23</f>
        <v>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44"/>
      <c r="X30" s="3"/>
      <c r="Y30" s="3"/>
      <c r="Z30" s="3"/>
    </row>
    <row r="31" spans="1:26" x14ac:dyDescent="0.25">
      <c r="A31" s="3"/>
      <c r="B31" s="463" t="s">
        <v>27</v>
      </c>
      <c r="C31" s="464"/>
      <c r="D31" s="36">
        <v>0</v>
      </c>
      <c r="E31" s="373">
        <f>MAX(0,MIN(МДанные!AJ31,МДанные!AK31,МДанные!AL31))+D31</f>
        <v>159</v>
      </c>
      <c r="F31" s="8">
        <f>МДанные!E31*МДанные!$D$77</f>
        <v>0.48449999999999999</v>
      </c>
      <c r="G31" s="8">
        <f>МДанные!F31*МДанные!$D$77</f>
        <v>1.9</v>
      </c>
      <c r="H31" s="9">
        <f>F31*D31+МДанные!J31*МДанные!U31</f>
        <v>0</v>
      </c>
      <c r="I31" s="8">
        <f>IF(D31&gt;МДанные!$D$82-МДанные!R31,МДанные!$D$82-МДанные!R31,D31)</f>
        <v>0</v>
      </c>
      <c r="J31" s="9">
        <f t="shared" si="3"/>
        <v>0</v>
      </c>
      <c r="K31" s="39">
        <v>0</v>
      </c>
      <c r="L31" s="163">
        <f>ШДанные!D23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44"/>
      <c r="X31" s="3"/>
      <c r="Y31" s="3"/>
      <c r="Z31" s="3"/>
    </row>
    <row r="32" spans="1:26" x14ac:dyDescent="0.25">
      <c r="A32" s="3"/>
      <c r="B32" s="461" t="s">
        <v>28</v>
      </c>
      <c r="C32" s="462"/>
      <c r="D32" s="36">
        <v>0</v>
      </c>
      <c r="E32" s="374">
        <f>MAX(0,MIN(МДанные!AJ32,МДанные!AK32,МДанные!AL32))+D32</f>
        <v>159</v>
      </c>
      <c r="F32" s="11">
        <f>МДанные!E32*МДанные!$D$77</f>
        <v>0.48449999999999999</v>
      </c>
      <c r="G32" s="11">
        <f>МДанные!F32*МДанные!$D$77</f>
        <v>1.9</v>
      </c>
      <c r="H32" s="12">
        <f>F32*D32+МДанные!J32*МДанные!U32</f>
        <v>0</v>
      </c>
      <c r="I32" s="11">
        <f>IF(D32&gt;МДанные!$D$82-МДанные!R32,МДанные!$D$82-МДанные!R32,D32)</f>
        <v>0</v>
      </c>
      <c r="J32" s="12">
        <f t="shared" si="3"/>
        <v>0</v>
      </c>
      <c r="K32" s="39">
        <v>0</v>
      </c>
      <c r="L32" s="161">
        <f>ШДанные!E23</f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44"/>
      <c r="X32" s="3"/>
      <c r="Y32" s="3"/>
      <c r="Z32" s="3"/>
    </row>
    <row r="33" spans="1:26" x14ac:dyDescent="0.25">
      <c r="A33" s="3"/>
      <c r="B33" s="463" t="s">
        <v>29</v>
      </c>
      <c r="C33" s="464"/>
      <c r="D33" s="36">
        <v>0</v>
      </c>
      <c r="E33" s="373">
        <f>MAX(0,MIN(МДанные!AJ33,МДанные!AK33,МДанные!AL33))+D33</f>
        <v>79</v>
      </c>
      <c r="F33" s="8">
        <f>МДанные!E33*МДанные!$D$77</f>
        <v>0.56999999999999995</v>
      </c>
      <c r="G33" s="8">
        <f>МДанные!F33*МДанные!$D$77</f>
        <v>1.9</v>
      </c>
      <c r="H33" s="9">
        <f>F33*D33+МДанные!J33*МДанные!U33</f>
        <v>0</v>
      </c>
      <c r="I33" s="8">
        <f>IF(D33*2&gt;МДанные!$D$82-МДанные!R33,МДанные!$D$82-МДанные!R33,D33*2)</f>
        <v>0</v>
      </c>
      <c r="J33" s="9">
        <f t="shared" si="3"/>
        <v>0</v>
      </c>
      <c r="K33" s="39">
        <v>0</v>
      </c>
      <c r="L33" s="163">
        <f>ШДанные!F23</f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44"/>
      <c r="X33" s="3"/>
      <c r="Y33" s="3"/>
      <c r="Z33" s="3"/>
    </row>
    <row r="34" spans="1:26" x14ac:dyDescent="0.25">
      <c r="A34" s="3"/>
      <c r="B34" s="461" t="s">
        <v>30</v>
      </c>
      <c r="C34" s="462"/>
      <c r="D34" s="36">
        <v>0</v>
      </c>
      <c r="E34" s="374">
        <f>MAX(0,MIN(МДанные!AJ34,МДанные!AK34,МДанные!AL34))+D34</f>
        <v>53</v>
      </c>
      <c r="F34" s="11">
        <f>МДанные!E34*МДанные!$D$77</f>
        <v>0.627</v>
      </c>
      <c r="G34" s="11">
        <f>МДанные!F34*МДанные!$D$77</f>
        <v>1.9</v>
      </c>
      <c r="H34" s="12">
        <f>F34*D34+МДанные!J34*МДанные!U34</f>
        <v>0</v>
      </c>
      <c r="I34" s="11">
        <f>IF(D34*3&gt;МДанные!$D$82-МДанные!R34,МДанные!$D$82-МДанные!R34,D34*3)</f>
        <v>0</v>
      </c>
      <c r="J34" s="12">
        <f t="shared" si="3"/>
        <v>0</v>
      </c>
      <c r="K34" s="40">
        <v>0</v>
      </c>
      <c r="L34" s="161">
        <f>ШДанные!G23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44"/>
      <c r="X34" s="3"/>
      <c r="Y34" s="3"/>
      <c r="Z34" s="3"/>
    </row>
    <row r="35" spans="1:26" x14ac:dyDescent="0.25">
      <c r="A35" s="3"/>
      <c r="B35" s="463" t="s">
        <v>628</v>
      </c>
      <c r="C35" s="464"/>
      <c r="D35" s="36">
        <v>0</v>
      </c>
      <c r="E35" s="373">
        <f>MAX(0,MIN(МДанные!AJ35,МДанные!AK35,МДанные!AL35))+D35</f>
        <v>159</v>
      </c>
      <c r="F35" s="8">
        <f>МДанные!E35*МДанные!$D$77</f>
        <v>0.47499999999999998</v>
      </c>
      <c r="G35" s="8">
        <f>МДанные!F35*МДанные!$D$77</f>
        <v>1.9</v>
      </c>
      <c r="H35" s="9">
        <f>F35*D35+МДанные!J35*МДанные!U35</f>
        <v>0</v>
      </c>
      <c r="I35" s="8">
        <f>IF(D35&gt;МДанные!$D$82-МДанные!R35,МДанные!$D$82-МДанные!R35,D35)</f>
        <v>0</v>
      </c>
      <c r="J35" s="9">
        <f t="shared" si="3"/>
        <v>0</v>
      </c>
      <c r="K35" s="39">
        <v>0</v>
      </c>
      <c r="L35" s="163">
        <f>ШДанные!H23</f>
        <v>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44"/>
      <c r="X35" s="3"/>
      <c r="Y35" s="3"/>
      <c r="Z35" s="3"/>
    </row>
    <row r="36" spans="1:26" x14ac:dyDescent="0.25">
      <c r="A36" s="3"/>
      <c r="B36" s="463" t="s">
        <v>629</v>
      </c>
      <c r="C36" s="464"/>
      <c r="D36" s="36">
        <v>0</v>
      </c>
      <c r="E36" s="373">
        <f>MAX(0,MIN(МДанные!AJ36,МДанные!AK36,МДанные!AL36))+D36</f>
        <v>6</v>
      </c>
      <c r="F36" s="8">
        <f>МДанные!$D$77*(МДанные!E36+МДанные!D$87)</f>
        <v>8.0749999999999993</v>
      </c>
      <c r="G36" s="8">
        <f>МДанные!$D$77*(МДанные!F36+МДанные!E$87)</f>
        <v>25.65</v>
      </c>
      <c r="H36" s="9">
        <f>F36*D36+МДанные!J36*МДанные!U36</f>
        <v>0</v>
      </c>
      <c r="I36" s="8">
        <f>IF(D36&gt;МДанные!$D$82-МДанные!R36,МДанные!$D$82-МДанные!R36,D36)</f>
        <v>0</v>
      </c>
      <c r="J36" s="9">
        <f>МДанные!$D$77*(I36*МДанные!F36+МДанные!E$87*D36)</f>
        <v>0</v>
      </c>
      <c r="K36" s="39">
        <v>0</v>
      </c>
      <c r="L36" s="186"/>
      <c r="M36" s="1"/>
      <c r="N36" s="1"/>
      <c r="O36" s="1"/>
      <c r="P36" s="1"/>
      <c r="Q36" s="1"/>
      <c r="R36" s="1"/>
      <c r="S36" s="1"/>
      <c r="T36" s="1"/>
      <c r="U36" s="1"/>
      <c r="V36" s="1"/>
      <c r="W36" s="44"/>
      <c r="X36" s="3"/>
      <c r="Y36" s="3"/>
      <c r="Z36" s="3"/>
    </row>
    <row r="37" spans="1:26" x14ac:dyDescent="0.25">
      <c r="A37" s="3"/>
      <c r="B37" s="461" t="s">
        <v>375</v>
      </c>
      <c r="C37" s="462"/>
      <c r="D37" s="36">
        <v>0</v>
      </c>
      <c r="E37" s="374">
        <f>MAX(0,MIN(МДанные!AJ37,МДанные!AK37,МДанные!AL37))+D37</f>
        <v>31</v>
      </c>
      <c r="F37" s="11">
        <f>(МДанные!E37+МДанные!D90)*МДанные!$D$77</f>
        <v>2.2800000000000002</v>
      </c>
      <c r="G37" s="11">
        <f>МДанные!F37*МДанные!$D$77</f>
        <v>0</v>
      </c>
      <c r="H37" s="12">
        <f>F37*D37+МДанные!J37*МДанные!U37</f>
        <v>0</v>
      </c>
      <c r="I37" s="11">
        <v>0</v>
      </c>
      <c r="J37" s="12">
        <f>I37*G37</f>
        <v>0</v>
      </c>
      <c r="K37" s="15" t="str">
        <f>МДанные!D135</f>
        <v>НЕТ</v>
      </c>
      <c r="L37" s="152"/>
      <c r="M37" s="1"/>
      <c r="N37" s="1"/>
      <c r="O37" s="1"/>
      <c r="P37" s="1"/>
      <c r="Q37" s="1"/>
      <c r="R37" s="1"/>
      <c r="S37" s="1"/>
      <c r="T37" s="1"/>
      <c r="U37" s="1"/>
      <c r="V37" s="1"/>
      <c r="W37" s="44"/>
      <c r="X37" s="3"/>
      <c r="Y37" s="3"/>
      <c r="Z37" s="3"/>
    </row>
    <row r="38" spans="1:26" ht="15.75" x14ac:dyDescent="0.25">
      <c r="A38" s="3"/>
      <c r="B38" s="466" t="s">
        <v>31</v>
      </c>
      <c r="C38" s="467"/>
      <c r="D38" s="467"/>
      <c r="E38" s="467"/>
      <c r="F38" s="467"/>
      <c r="G38" s="467"/>
      <c r="H38" s="467"/>
      <c r="I38" s="467"/>
      <c r="J38" s="16"/>
      <c r="K38" s="383"/>
      <c r="L38" s="19"/>
      <c r="M38" s="1"/>
      <c r="N38" s="1"/>
      <c r="O38" s="1"/>
      <c r="P38" s="1"/>
      <c r="Q38" s="1"/>
      <c r="R38" s="1"/>
      <c r="S38" s="1"/>
      <c r="T38" s="1"/>
      <c r="U38" s="1"/>
      <c r="V38" s="1"/>
      <c r="W38" s="44"/>
      <c r="X38" s="3"/>
      <c r="Y38" s="3"/>
      <c r="Z38" s="3"/>
    </row>
    <row r="39" spans="1:26" x14ac:dyDescent="0.25">
      <c r="A39" s="3"/>
      <c r="B39" s="485" t="s">
        <v>428</v>
      </c>
      <c r="C39" s="486"/>
      <c r="D39" s="36">
        <v>0</v>
      </c>
      <c r="E39" s="373">
        <f>MAX(0,MIN(МДанные!AJ39,МДанные!AK39,МДанные!AL39))+D39</f>
        <v>82</v>
      </c>
      <c r="F39" s="8">
        <f>МДанные!E39*МДанные!$D$77</f>
        <v>0.30399999999999999</v>
      </c>
      <c r="G39" s="8">
        <f>МДанные!H39*МДанные!$D$77</f>
        <v>2.375</v>
      </c>
      <c r="H39" s="9">
        <f t="shared" ref="H39:H55" si="4">D39*F39</f>
        <v>0</v>
      </c>
      <c r="I39" s="8">
        <f t="shared" ref="I39:I55" si="5">D39</f>
        <v>0</v>
      </c>
      <c r="J39" s="9">
        <f>I39*G39</f>
        <v>0</v>
      </c>
      <c r="K39" s="10" t="str">
        <f>МДанные!$D$135</f>
        <v>НЕТ</v>
      </c>
      <c r="L39" s="41" t="s">
        <v>131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44"/>
      <c r="X39" s="3"/>
      <c r="Y39" s="3"/>
      <c r="Z39" s="3"/>
    </row>
    <row r="40" spans="1:26" x14ac:dyDescent="0.25">
      <c r="A40" s="3"/>
      <c r="B40" s="485" t="s">
        <v>429</v>
      </c>
      <c r="C40" s="486"/>
      <c r="D40" s="36">
        <v>0</v>
      </c>
      <c r="E40" s="373">
        <f>MAX(0,MIN(МДанные!AJ40,МДанные!AK40,МДанные!AL40))+D40</f>
        <v>36</v>
      </c>
      <c r="F40" s="8">
        <f>МДанные!E40*МДанные!$D$77</f>
        <v>0.30399999999999999</v>
      </c>
      <c r="G40" s="8">
        <f>МДанные!H40*МДанные!$D$77</f>
        <v>5.6999999999999993</v>
      </c>
      <c r="H40" s="9">
        <f t="shared" si="4"/>
        <v>0</v>
      </c>
      <c r="I40" s="8">
        <f t="shared" si="5"/>
        <v>0</v>
      </c>
      <c r="J40" s="9">
        <f t="shared" ref="J40:J54" si="6">I40*G40</f>
        <v>0</v>
      </c>
      <c r="K40" s="10" t="str">
        <f>МДанные!$D$135</f>
        <v>НЕТ</v>
      </c>
      <c r="L40" s="41" t="s">
        <v>99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44"/>
      <c r="X40" s="3"/>
      <c r="Y40" s="3"/>
      <c r="Z40" s="3"/>
    </row>
    <row r="41" spans="1:26" x14ac:dyDescent="0.25">
      <c r="A41" s="3"/>
      <c r="B41" s="461" t="s">
        <v>430</v>
      </c>
      <c r="C41" s="462"/>
      <c r="D41" s="36">
        <v>0</v>
      </c>
      <c r="E41" s="374">
        <f>MAX(0,MIN(МДанные!AJ41,МДанные!AK41,МДанные!AL41))+D41</f>
        <v>0</v>
      </c>
      <c r="F41" s="11">
        <f>(МДанные!E41+МДанные!J41)*МДанные!$D$77</f>
        <v>0.48449999999999999</v>
      </c>
      <c r="G41" s="11">
        <f>МДанные!H41*МДанные!$D$77</f>
        <v>2.375</v>
      </c>
      <c r="H41" s="12">
        <f t="shared" si="4"/>
        <v>0</v>
      </c>
      <c r="I41" s="11">
        <f t="shared" si="5"/>
        <v>0</v>
      </c>
      <c r="J41" s="12">
        <f t="shared" si="6"/>
        <v>0</v>
      </c>
      <c r="K41" s="13">
        <f>D41</f>
        <v>0</v>
      </c>
      <c r="L41" s="41" t="s">
        <v>131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44"/>
      <c r="X41" s="3"/>
      <c r="Y41" s="3"/>
      <c r="Z41" s="3"/>
    </row>
    <row r="42" spans="1:26" x14ac:dyDescent="0.25">
      <c r="A42" s="3"/>
      <c r="B42" s="461" t="s">
        <v>431</v>
      </c>
      <c r="C42" s="462"/>
      <c r="D42" s="36">
        <v>0</v>
      </c>
      <c r="E42" s="374">
        <f>MAX(0,MIN(МДанные!AJ42,МДанные!AK42,МДанные!AL42))+D42</f>
        <v>0</v>
      </c>
      <c r="F42" s="11">
        <f>(МДанные!E42+МДанные!J42)*МДанные!$D$77</f>
        <v>0.48449999999999999</v>
      </c>
      <c r="G42" s="11">
        <f>МДанные!H42*МДанные!$D$77</f>
        <v>5.6999999999999993</v>
      </c>
      <c r="H42" s="12">
        <f t="shared" si="4"/>
        <v>0</v>
      </c>
      <c r="I42" s="11">
        <f t="shared" si="5"/>
        <v>0</v>
      </c>
      <c r="J42" s="12">
        <f t="shared" si="6"/>
        <v>0</v>
      </c>
      <c r="K42" s="13">
        <f>D42</f>
        <v>0</v>
      </c>
      <c r="L42" s="41" t="s">
        <v>99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44"/>
      <c r="X42" s="3"/>
      <c r="Y42" s="3"/>
      <c r="Z42" s="3"/>
    </row>
    <row r="43" spans="1:26" x14ac:dyDescent="0.25">
      <c r="A43" s="3"/>
      <c r="B43" s="463" t="s">
        <v>432</v>
      </c>
      <c r="C43" s="464"/>
      <c r="D43" s="36">
        <v>0</v>
      </c>
      <c r="E43" s="373">
        <f>MAX(0,MIN(МДанные!AJ43,МДанные!AK43,МДанные!AL43))+D43</f>
        <v>82</v>
      </c>
      <c r="F43" s="8">
        <f>МДанные!E43*МДанные!$D$77</f>
        <v>0.30399999999999999</v>
      </c>
      <c r="G43" s="8">
        <f>МДанные!H43*МДанные!$D$77</f>
        <v>2.375</v>
      </c>
      <c r="H43" s="9">
        <f t="shared" si="4"/>
        <v>0</v>
      </c>
      <c r="I43" s="8">
        <f t="shared" si="5"/>
        <v>0</v>
      </c>
      <c r="J43" s="9">
        <f t="shared" si="6"/>
        <v>0</v>
      </c>
      <c r="K43" s="10" t="str">
        <f>МДанные!$D$135</f>
        <v>НЕТ</v>
      </c>
      <c r="L43" s="41" t="s">
        <v>131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44"/>
      <c r="X43" s="3"/>
      <c r="Y43" s="3"/>
      <c r="Z43" s="3"/>
    </row>
    <row r="44" spans="1:26" x14ac:dyDescent="0.25">
      <c r="A44" s="3"/>
      <c r="B44" s="463" t="s">
        <v>433</v>
      </c>
      <c r="C44" s="464"/>
      <c r="D44" s="36">
        <v>0</v>
      </c>
      <c r="E44" s="373">
        <f>MAX(0,MIN(МДанные!AJ44,МДанные!AK44,МДанные!AL44))+D44</f>
        <v>36</v>
      </c>
      <c r="F44" s="8">
        <f>МДанные!E44*МДанные!$D$77</f>
        <v>0.30399999999999999</v>
      </c>
      <c r="G44" s="8">
        <f>МДанные!H44*МДанные!$D$77</f>
        <v>5.6999999999999993</v>
      </c>
      <c r="H44" s="9">
        <f t="shared" si="4"/>
        <v>0</v>
      </c>
      <c r="I44" s="8">
        <f t="shared" si="5"/>
        <v>0</v>
      </c>
      <c r="J44" s="9">
        <f t="shared" si="6"/>
        <v>0</v>
      </c>
      <c r="K44" s="10" t="str">
        <f>МДанные!$D$135</f>
        <v>НЕТ</v>
      </c>
      <c r="L44" s="41" t="s">
        <v>99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44"/>
      <c r="X44" s="3"/>
      <c r="Y44" s="3"/>
      <c r="Z44" s="3"/>
    </row>
    <row r="45" spans="1:26" x14ac:dyDescent="0.25">
      <c r="A45" s="3"/>
      <c r="B45" s="461" t="s">
        <v>434</v>
      </c>
      <c r="C45" s="462"/>
      <c r="D45" s="36">
        <v>0</v>
      </c>
      <c r="E45" s="374">
        <f>MAX(0,MIN(МДанные!AJ45,МДанные!AK45,МДанные!AL45))+D45</f>
        <v>0</v>
      </c>
      <c r="F45" s="11">
        <f>(МДанные!E45+МДанные!J45)*МДанные!$D$77</f>
        <v>0.48449999999999999</v>
      </c>
      <c r="G45" s="11">
        <f>МДанные!H45*МДанные!$D$77</f>
        <v>2.375</v>
      </c>
      <c r="H45" s="12">
        <f t="shared" si="4"/>
        <v>0</v>
      </c>
      <c r="I45" s="11">
        <f t="shared" si="5"/>
        <v>0</v>
      </c>
      <c r="J45" s="12">
        <f t="shared" si="6"/>
        <v>0</v>
      </c>
      <c r="K45" s="13">
        <f>D45</f>
        <v>0</v>
      </c>
      <c r="L45" s="41" t="s">
        <v>131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44"/>
      <c r="X45" s="3"/>
      <c r="Y45" s="3"/>
      <c r="Z45" s="3"/>
    </row>
    <row r="46" spans="1:26" x14ac:dyDescent="0.25">
      <c r="A46" s="3"/>
      <c r="B46" s="461" t="s">
        <v>435</v>
      </c>
      <c r="C46" s="462"/>
      <c r="D46" s="36">
        <v>0</v>
      </c>
      <c r="E46" s="374">
        <f>MAX(0,MIN(МДанные!AJ46,МДанные!AK46,МДанные!AL46))+D46</f>
        <v>0</v>
      </c>
      <c r="F46" s="11">
        <f>(МДанные!E46+МДанные!J46)*МДанные!$D$77</f>
        <v>0.48449999999999999</v>
      </c>
      <c r="G46" s="11">
        <f>МДанные!H46*МДанные!$D$77</f>
        <v>5.6999999999999993</v>
      </c>
      <c r="H46" s="12">
        <f t="shared" si="4"/>
        <v>0</v>
      </c>
      <c r="I46" s="11">
        <f t="shared" si="5"/>
        <v>0</v>
      </c>
      <c r="J46" s="12">
        <f t="shared" si="6"/>
        <v>0</v>
      </c>
      <c r="K46" s="13">
        <f>D46</f>
        <v>0</v>
      </c>
      <c r="L46" s="41" t="s">
        <v>99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44"/>
      <c r="X46" s="3"/>
      <c r="Y46" s="3"/>
      <c r="Z46" s="3"/>
    </row>
    <row r="47" spans="1:26" x14ac:dyDescent="0.25">
      <c r="A47" s="3"/>
      <c r="B47" s="463" t="s">
        <v>436</v>
      </c>
      <c r="C47" s="464"/>
      <c r="D47" s="36">
        <v>0</v>
      </c>
      <c r="E47" s="373">
        <f>MAX(0,MIN(МДанные!AJ47,МДанные!AK47,МДанные!AL47))+D47</f>
        <v>38</v>
      </c>
      <c r="F47" s="8">
        <f>МДанные!E47*МДанные!$D$77</f>
        <v>0.30399999999999999</v>
      </c>
      <c r="G47" s="8">
        <f>МДанные!H47*МДанные!$D$77</f>
        <v>5.51</v>
      </c>
      <c r="H47" s="9">
        <f t="shared" si="4"/>
        <v>0</v>
      </c>
      <c r="I47" s="8">
        <f t="shared" si="5"/>
        <v>0</v>
      </c>
      <c r="J47" s="9">
        <f t="shared" si="6"/>
        <v>0</v>
      </c>
      <c r="K47" s="10" t="str">
        <f>МДанные!$D$135</f>
        <v>НЕТ</v>
      </c>
      <c r="L47" s="41" t="s">
        <v>131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44"/>
      <c r="X47" s="3"/>
      <c r="Y47" s="3"/>
      <c r="Z47" s="3"/>
    </row>
    <row r="48" spans="1:26" x14ac:dyDescent="0.25">
      <c r="A48" s="3"/>
      <c r="B48" s="463" t="s">
        <v>437</v>
      </c>
      <c r="C48" s="464"/>
      <c r="D48" s="36">
        <v>0</v>
      </c>
      <c r="E48" s="373">
        <f>MAX(0,MIN(МДанные!AJ48,МДанные!AK48,МДанные!AL48))+D48</f>
        <v>24</v>
      </c>
      <c r="F48" s="8">
        <f>МДанные!E48*МДанные!$D$77</f>
        <v>0.30399999999999999</v>
      </c>
      <c r="G48" s="8">
        <f>МДанные!H48*МДанные!$D$77</f>
        <v>8.8350000000000009</v>
      </c>
      <c r="H48" s="9">
        <f t="shared" si="4"/>
        <v>0</v>
      </c>
      <c r="I48" s="8">
        <f t="shared" si="5"/>
        <v>0</v>
      </c>
      <c r="J48" s="9">
        <f t="shared" si="6"/>
        <v>0</v>
      </c>
      <c r="K48" s="10" t="str">
        <f>МДанные!$D$135</f>
        <v>НЕТ</v>
      </c>
      <c r="L48" s="41" t="s">
        <v>99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44"/>
      <c r="X48" s="3"/>
      <c r="Y48" s="3"/>
      <c r="Z48" s="3"/>
    </row>
    <row r="49" spans="1:26" x14ac:dyDescent="0.25">
      <c r="A49" s="3"/>
      <c r="B49" s="461" t="s">
        <v>438</v>
      </c>
      <c r="C49" s="462"/>
      <c r="D49" s="36">
        <v>0</v>
      </c>
      <c r="E49" s="374">
        <f>MAX(0,MIN(МДанные!AJ49,МДанные!AK49,МДанные!AL49))+D49</f>
        <v>0</v>
      </c>
      <c r="F49" s="11">
        <f>(МДанные!E49+МДанные!J49)*МДанные!$D$77</f>
        <v>0.48449999999999999</v>
      </c>
      <c r="G49" s="11">
        <f>МДанные!H49*МДанные!$D$77</f>
        <v>5.51</v>
      </c>
      <c r="H49" s="12">
        <f t="shared" si="4"/>
        <v>0</v>
      </c>
      <c r="I49" s="11">
        <f t="shared" si="5"/>
        <v>0</v>
      </c>
      <c r="J49" s="12">
        <f t="shared" si="6"/>
        <v>0</v>
      </c>
      <c r="K49" s="13">
        <f>D49</f>
        <v>0</v>
      </c>
      <c r="L49" s="41" t="s">
        <v>131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44"/>
      <c r="X49" s="3"/>
      <c r="Y49" s="3"/>
      <c r="Z49" s="3"/>
    </row>
    <row r="50" spans="1:26" x14ac:dyDescent="0.25">
      <c r="A50" s="3"/>
      <c r="B50" s="461" t="s">
        <v>439</v>
      </c>
      <c r="C50" s="462"/>
      <c r="D50" s="36">
        <v>0</v>
      </c>
      <c r="E50" s="374">
        <f>MAX(0,MIN(МДанные!AJ50,МДанные!AK50,МДанные!AL50))+D50</f>
        <v>0</v>
      </c>
      <c r="F50" s="11">
        <f>(МДанные!E50+МДанные!J50)*МДанные!$D$77</f>
        <v>0.48449999999999999</v>
      </c>
      <c r="G50" s="11">
        <f>МДанные!H50*МДанные!$D$77</f>
        <v>8.8350000000000009</v>
      </c>
      <c r="H50" s="12">
        <f t="shared" si="4"/>
        <v>0</v>
      </c>
      <c r="I50" s="11">
        <f t="shared" si="5"/>
        <v>0</v>
      </c>
      <c r="J50" s="12">
        <f t="shared" si="6"/>
        <v>0</v>
      </c>
      <c r="K50" s="13">
        <f>D50</f>
        <v>0</v>
      </c>
      <c r="L50" s="41" t="s">
        <v>99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44"/>
      <c r="X50" s="3"/>
      <c r="Y50" s="3"/>
      <c r="Z50" s="3"/>
    </row>
    <row r="51" spans="1:26" x14ac:dyDescent="0.25">
      <c r="A51" s="3"/>
      <c r="B51" s="463" t="s">
        <v>440</v>
      </c>
      <c r="C51" s="464"/>
      <c r="D51" s="36">
        <v>0</v>
      </c>
      <c r="E51" s="373">
        <f>MAX(0,MIN(МДанные!AJ51,МДанные!AK51,МДанные!AL51))+D51</f>
        <v>38</v>
      </c>
      <c r="F51" s="8">
        <f>МДанные!E51*МДанные!$D$77</f>
        <v>0.30399999999999999</v>
      </c>
      <c r="G51" s="8">
        <f>МДанные!H51*МДанные!$D$77</f>
        <v>5.51</v>
      </c>
      <c r="H51" s="9">
        <f t="shared" si="4"/>
        <v>0</v>
      </c>
      <c r="I51" s="8">
        <f t="shared" si="5"/>
        <v>0</v>
      </c>
      <c r="J51" s="9">
        <f t="shared" si="6"/>
        <v>0</v>
      </c>
      <c r="K51" s="10" t="str">
        <f>МДанные!$D$135</f>
        <v>НЕТ</v>
      </c>
      <c r="L51" s="41" t="s">
        <v>131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44"/>
      <c r="X51" s="3"/>
      <c r="Y51" s="3"/>
      <c r="Z51" s="3"/>
    </row>
    <row r="52" spans="1:26" x14ac:dyDescent="0.25">
      <c r="A52" s="3"/>
      <c r="B52" s="463" t="s">
        <v>441</v>
      </c>
      <c r="C52" s="464"/>
      <c r="D52" s="36">
        <v>0</v>
      </c>
      <c r="E52" s="373">
        <f>MAX(0,MIN(МДанные!AJ52,МДанные!AK52,МДанные!AL52))+D52</f>
        <v>24</v>
      </c>
      <c r="F52" s="8">
        <f>МДанные!E52*МДанные!$D$77</f>
        <v>0.30399999999999999</v>
      </c>
      <c r="G52" s="8">
        <f>МДанные!H52*МДанные!$D$77</f>
        <v>8.8350000000000009</v>
      </c>
      <c r="H52" s="9">
        <f t="shared" si="4"/>
        <v>0</v>
      </c>
      <c r="I52" s="8">
        <f t="shared" si="5"/>
        <v>0</v>
      </c>
      <c r="J52" s="9">
        <f t="shared" si="6"/>
        <v>0</v>
      </c>
      <c r="K52" s="10" t="str">
        <f>МДанные!$D$135</f>
        <v>НЕТ</v>
      </c>
      <c r="L52" s="41" t="s">
        <v>99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44"/>
      <c r="X52" s="3"/>
      <c r="Y52" s="3"/>
      <c r="Z52" s="3"/>
    </row>
    <row r="53" spans="1:26" x14ac:dyDescent="0.25">
      <c r="A53" s="3"/>
      <c r="B53" s="483" t="s">
        <v>442</v>
      </c>
      <c r="C53" s="484"/>
      <c r="D53" s="36">
        <v>0</v>
      </c>
      <c r="E53" s="374">
        <f>MAX(0,MIN(МДанные!AJ53,МДанные!AK53,МДанные!AL53))+D53</f>
        <v>0</v>
      </c>
      <c r="F53" s="11">
        <f>(МДанные!E53+МДанные!J53)*МДанные!$D$77</f>
        <v>0.48449999999999999</v>
      </c>
      <c r="G53" s="11">
        <f>МДанные!H53*МДанные!$D$77</f>
        <v>5.51</v>
      </c>
      <c r="H53" s="12">
        <f t="shared" si="4"/>
        <v>0</v>
      </c>
      <c r="I53" s="11">
        <f t="shared" si="5"/>
        <v>0</v>
      </c>
      <c r="J53" s="12">
        <f t="shared" si="6"/>
        <v>0</v>
      </c>
      <c r="K53" s="13">
        <f>D53</f>
        <v>0</v>
      </c>
      <c r="L53" s="41" t="s">
        <v>131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44"/>
      <c r="X53" s="3"/>
      <c r="Y53" s="3"/>
      <c r="Z53" s="3"/>
    </row>
    <row r="54" spans="1:26" x14ac:dyDescent="0.25">
      <c r="A54" s="3"/>
      <c r="B54" s="483" t="s">
        <v>443</v>
      </c>
      <c r="C54" s="484"/>
      <c r="D54" s="36">
        <v>0</v>
      </c>
      <c r="E54" s="374">
        <f>MAX(0,MIN(МДанные!AJ54,МДанные!AK54,МДанные!AL54))+D54</f>
        <v>0</v>
      </c>
      <c r="F54" s="11">
        <f>(МДанные!E54+МДанные!J54)*МДанные!$D$77</f>
        <v>0.48449999999999999</v>
      </c>
      <c r="G54" s="11">
        <f>МДанные!H54*МДанные!$D$77</f>
        <v>8.8350000000000009</v>
      </c>
      <c r="H54" s="12">
        <f t="shared" si="4"/>
        <v>0</v>
      </c>
      <c r="I54" s="11">
        <f t="shared" si="5"/>
        <v>0</v>
      </c>
      <c r="J54" s="12">
        <f t="shared" si="6"/>
        <v>0</v>
      </c>
      <c r="K54" s="136">
        <f>D54</f>
        <v>0</v>
      </c>
      <c r="L54" s="134" t="s">
        <v>99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44"/>
      <c r="X54" s="3"/>
      <c r="Y54" s="3"/>
      <c r="Z54" s="3"/>
    </row>
    <row r="55" spans="1:26" x14ac:dyDescent="0.25">
      <c r="A55" s="3"/>
      <c r="B55" s="477" t="s">
        <v>32</v>
      </c>
      <c r="C55" s="478"/>
      <c r="D55" s="37">
        <v>0</v>
      </c>
      <c r="E55" s="373">
        <f>MAX(0,MIN(МДанные!AJ55,МДанные!AK55,МДанные!AL55))+D55</f>
        <v>71</v>
      </c>
      <c r="F55" s="8">
        <f>МДанные!E55*МДанные!$D$77</f>
        <v>0.29449999999999998</v>
      </c>
      <c r="G55" s="8">
        <f>МДанные!F55*МДанные!$D$77</f>
        <v>2.8214999999999999</v>
      </c>
      <c r="H55" s="9">
        <f t="shared" si="4"/>
        <v>0</v>
      </c>
      <c r="I55" s="8">
        <f t="shared" si="5"/>
        <v>0</v>
      </c>
      <c r="J55" s="9">
        <f t="shared" ref="J55" si="7">I55*G55</f>
        <v>0</v>
      </c>
      <c r="K55" s="135" t="str">
        <f>МДанные!$D$135</f>
        <v>НЕТ</v>
      </c>
      <c r="L55" s="377"/>
      <c r="M55" s="1"/>
      <c r="N55" s="1"/>
      <c r="O55" s="1"/>
      <c r="P55" s="1"/>
      <c r="Q55" s="1"/>
      <c r="R55" s="1"/>
      <c r="S55" s="1"/>
      <c r="T55" s="1"/>
      <c r="U55" s="1"/>
      <c r="V55" s="1"/>
      <c r="W55" s="44"/>
      <c r="X55" s="3"/>
      <c r="Y55" s="3"/>
      <c r="Z55" s="3"/>
    </row>
    <row r="56" spans="1:26" ht="15.75" x14ac:dyDescent="0.25">
      <c r="A56" s="3"/>
      <c r="B56" s="470" t="s">
        <v>33</v>
      </c>
      <c r="C56" s="479"/>
      <c r="D56" s="479"/>
      <c r="E56" s="479"/>
      <c r="F56" s="479"/>
      <c r="G56" s="479"/>
      <c r="H56" s="479"/>
      <c r="I56" s="479"/>
      <c r="J56" s="20"/>
      <c r="K56" s="383"/>
      <c r="L56" s="19"/>
      <c r="M56" s="1"/>
      <c r="N56" s="1"/>
      <c r="O56" s="1"/>
      <c r="P56" s="1"/>
      <c r="Q56" s="1"/>
      <c r="R56" s="1"/>
      <c r="S56" s="1"/>
      <c r="T56" s="1"/>
      <c r="U56" s="1"/>
      <c r="V56" s="1"/>
      <c r="W56" s="44"/>
      <c r="X56" s="3"/>
      <c r="Y56" s="3"/>
      <c r="Z56" s="3"/>
    </row>
    <row r="57" spans="1:26" x14ac:dyDescent="0.25">
      <c r="A57" s="3"/>
      <c r="B57" s="461" t="s">
        <v>34</v>
      </c>
      <c r="C57" s="462"/>
      <c r="D57" s="36">
        <v>0</v>
      </c>
      <c r="E57" s="374">
        <f>MAX(0,MIN(МДанные!AJ57,МДанные!AK57,МДанные!AL57))+D57</f>
        <v>0</v>
      </c>
      <c r="F57" s="11">
        <f>(МДанные!E57+МДанные!G57)*МДанные!$D$77</f>
        <v>9.5000000000000001E-2</v>
      </c>
      <c r="G57" s="11">
        <f>МДанные!F57*МДанные!$D$77</f>
        <v>1.9</v>
      </c>
      <c r="H57" s="12">
        <f>IF(D57&gt;SUM(D8:D17),SUM(D8:D17)*F57,D57*F57)</f>
        <v>0</v>
      </c>
      <c r="I57" s="11">
        <f>IF(D57&gt;SUM(I8:I17),SUM(I8:I17),D57)</f>
        <v>0</v>
      </c>
      <c r="J57" s="12">
        <f t="shared" ref="J57:J58" si="8">I57*G57</f>
        <v>0</v>
      </c>
      <c r="K57" s="21"/>
      <c r="L57" s="22"/>
      <c r="M57" s="1"/>
      <c r="N57" s="1"/>
      <c r="O57" s="1"/>
      <c r="P57" s="1"/>
      <c r="Q57" s="1"/>
      <c r="R57" s="1"/>
      <c r="S57" s="1"/>
      <c r="T57" s="1"/>
      <c r="U57" s="1"/>
      <c r="V57" s="1"/>
      <c r="W57" s="44"/>
      <c r="X57" s="3"/>
      <c r="Y57" s="3"/>
      <c r="Z57" s="3"/>
    </row>
    <row r="58" spans="1:26" x14ac:dyDescent="0.25">
      <c r="A58" s="3"/>
      <c r="B58" s="463" t="s">
        <v>84</v>
      </c>
      <c r="C58" s="464"/>
      <c r="D58" s="36">
        <v>0</v>
      </c>
      <c r="E58" s="373">
        <f>MAX(0,MIN(МДанные!AJ58,МДанные!AK58,МДанные!AL58))+D58</f>
        <v>0</v>
      </c>
      <c r="F58" s="8">
        <f>МДанные!E61*МДанные!$D$77</f>
        <v>9.5000000000000001E-2</v>
      </c>
      <c r="G58" s="8">
        <f>МДанные!F61*МДанные!$D$77</f>
        <v>10.26</v>
      </c>
      <c r="H58" s="9">
        <f>IF(D58&gt;D18,D18*F58,D58*F58)</f>
        <v>0</v>
      </c>
      <c r="I58" s="8">
        <f>IF(D58&gt;I18,I18,D58)</f>
        <v>0</v>
      </c>
      <c r="J58" s="9">
        <f t="shared" si="8"/>
        <v>0</v>
      </c>
      <c r="K58" s="21"/>
      <c r="L58" s="22"/>
      <c r="M58" s="1"/>
      <c r="N58" s="1"/>
      <c r="O58" s="1"/>
      <c r="P58" s="1"/>
      <c r="Q58" s="1"/>
      <c r="R58" s="1"/>
      <c r="S58" s="1"/>
      <c r="T58" s="1"/>
      <c r="U58" s="1"/>
      <c r="V58" s="1"/>
      <c r="W58" s="44"/>
      <c r="X58" s="3"/>
      <c r="Y58" s="3"/>
      <c r="Z58" s="3"/>
    </row>
    <row r="59" spans="1:26" x14ac:dyDescent="0.25">
      <c r="A59" s="3"/>
      <c r="B59" s="480" t="s">
        <v>35</v>
      </c>
      <c r="C59" s="481"/>
      <c r="D59" s="36">
        <v>0</v>
      </c>
      <c r="E59" s="374">
        <f>MAX(0,MIN(МДанные!AJ59,МДанные!AK59,МДанные!AL59))+D59</f>
        <v>18</v>
      </c>
      <c r="F59" s="11">
        <f>(МДанные!E65+МДанные!G65)*МДанные!$D$77</f>
        <v>7.1724999999999994</v>
      </c>
      <c r="G59" s="11">
        <f>МДанные!F65*МДанные!$D$77</f>
        <v>0</v>
      </c>
      <c r="H59" s="12">
        <f>D59*F59</f>
        <v>0</v>
      </c>
      <c r="I59" s="375">
        <v>0</v>
      </c>
      <c r="J59" s="12">
        <v>0</v>
      </c>
      <c r="K59" s="21"/>
      <c r="L59" s="22"/>
      <c r="M59" s="1"/>
      <c r="N59" s="1"/>
      <c r="O59" s="1"/>
      <c r="P59" s="1"/>
      <c r="Q59" s="1"/>
      <c r="R59" s="1"/>
      <c r="S59" s="1"/>
      <c r="T59" s="1"/>
      <c r="U59" s="1"/>
      <c r="V59" s="1"/>
      <c r="W59" s="44"/>
      <c r="X59" s="3"/>
      <c r="Y59" s="3"/>
      <c r="Z59" s="3"/>
    </row>
    <row r="60" spans="1:26" x14ac:dyDescent="0.25">
      <c r="A60" s="3"/>
      <c r="B60" s="476" t="s">
        <v>36</v>
      </c>
      <c r="C60" s="476"/>
      <c r="D60" s="8">
        <f>D59</f>
        <v>0</v>
      </c>
      <c r="E60" s="373">
        <f>MAX(0,MIN(МДанные!AJ60,МДанные!AK60,МДанные!AL60))+D60</f>
        <v>18</v>
      </c>
      <c r="F60" s="8">
        <f>МДанные!E66*МДанные!$D$77</f>
        <v>1.4249999999999998</v>
      </c>
      <c r="G60" s="8">
        <f>МДанные!F66*МДанные!$D$77</f>
        <v>0</v>
      </c>
      <c r="H60" s="9">
        <f>D60*F60</f>
        <v>0</v>
      </c>
      <c r="I60" s="8">
        <v>0</v>
      </c>
      <c r="J60" s="9">
        <v>0</v>
      </c>
      <c r="K60" s="23"/>
      <c r="L60" s="24"/>
      <c r="M60" s="1"/>
      <c r="N60" s="1"/>
      <c r="O60" s="1"/>
      <c r="P60" s="1"/>
      <c r="Q60" s="1"/>
      <c r="R60" s="1"/>
      <c r="S60" s="1"/>
      <c r="T60" s="1"/>
      <c r="U60" s="1"/>
      <c r="V60" s="1"/>
      <c r="W60" s="44"/>
      <c r="X60" s="3"/>
      <c r="Y60" s="3"/>
      <c r="Z60" s="3"/>
    </row>
    <row r="61" spans="1:26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5">
      <c r="A62" s="3"/>
      <c r="B62" s="33"/>
      <c r="C62" s="33" t="s">
        <v>785</v>
      </c>
      <c r="D62" s="33"/>
      <c r="E62" s="33"/>
      <c r="F62" s="33"/>
      <c r="G62" s="33"/>
      <c r="H62" s="33" t="s">
        <v>173</v>
      </c>
      <c r="I62" s="33"/>
      <c r="J62" s="33"/>
      <c r="K62" s="3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3"/>
      <c r="B63" s="33"/>
      <c r="C63" s="74" t="s">
        <v>163</v>
      </c>
      <c r="D63" s="42">
        <v>0.87</v>
      </c>
      <c r="E63" s="33"/>
      <c r="F63" s="33"/>
      <c r="G63" s="33"/>
      <c r="H63" s="465" t="str">
        <f>МДанные!E147</f>
        <v>Расчет верен</v>
      </c>
      <c r="I63" s="465"/>
      <c r="J63" s="465"/>
      <c r="K63" s="3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A64" s="3"/>
      <c r="B64" s="33"/>
      <c r="C64" s="73" t="s">
        <v>164</v>
      </c>
      <c r="D64" s="42">
        <v>50</v>
      </c>
      <c r="E64" s="33"/>
      <c r="F64" s="33"/>
      <c r="G64" s="33"/>
      <c r="H64" s="465" t="str">
        <f>МДанные!E148</f>
        <v>Превышен максимальный ток шлейфа</v>
      </c>
      <c r="I64" s="465"/>
      <c r="J64" s="465"/>
      <c r="K64" s="3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5">
      <c r="A65" s="3"/>
      <c r="B65" s="33"/>
      <c r="C65" s="1"/>
      <c r="D65" s="1"/>
      <c r="F65" s="33"/>
      <c r="G65" s="33"/>
      <c r="H65" s="465" t="str">
        <f>МДанные!E149</f>
        <v>Превышено максимальное количество извещателей</v>
      </c>
      <c r="I65" s="465"/>
      <c r="J65" s="465"/>
      <c r="K65" s="3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3"/>
      <c r="B66" s="33"/>
      <c r="C66" s="33" t="s">
        <v>786</v>
      </c>
      <c r="D66" s="33"/>
      <c r="E66" s="33"/>
      <c r="F66" s="33"/>
      <c r="G66" s="33"/>
      <c r="H66" s="465" t="str">
        <f>МДанные!E151</f>
        <v>Превышено максимальное количество модулей</v>
      </c>
      <c r="I66" s="465"/>
      <c r="J66" s="465"/>
      <c r="K66" s="3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5">
      <c r="A67" s="3"/>
      <c r="B67" s="33"/>
      <c r="C67" s="77" t="s">
        <v>170</v>
      </c>
      <c r="D67" s="78">
        <f>SUM(H8:H22,H24:H37,H39:H55,H57:H60)</f>
        <v>0</v>
      </c>
      <c r="E67" s="33"/>
      <c r="F67" s="33"/>
      <c r="G67" s="33"/>
      <c r="H67" s="465" t="str">
        <f>МДанные!E153</f>
        <v>Превышено количество изоляторов</v>
      </c>
      <c r="I67" s="465"/>
      <c r="J67" s="465"/>
      <c r="K67" s="3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3"/>
      <c r="B68" s="33"/>
      <c r="C68" s="75" t="s">
        <v>171</v>
      </c>
      <c r="D68" s="76">
        <f>D67+SUM(J8:J22,J24:J37,J39:J55,J57:J60)+D99</f>
        <v>0</v>
      </c>
      <c r="E68" s="79" t="str">
        <f>IF(МДанные!D184,"&gt;"&amp;D69," ")</f>
        <v xml:space="preserve"> </v>
      </c>
      <c r="F68" s="33"/>
      <c r="G68" s="33"/>
      <c r="H68" s="465" t="str">
        <f>МДанные!E155</f>
        <v>Ошибка расчета искробезопасных извещателей</v>
      </c>
      <c r="I68" s="465"/>
      <c r="J68" s="465"/>
      <c r="K68" s="3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5">
      <c r="A69" s="3"/>
      <c r="B69" s="33"/>
      <c r="C69" s="77" t="s">
        <v>172</v>
      </c>
      <c r="D69" s="80">
        <f>INT(МДанные!D127/D64*D63)</f>
        <v>222</v>
      </c>
      <c r="E69" s="33"/>
      <c r="F69" s="33"/>
      <c r="G69" s="33"/>
      <c r="H69" s="465" t="str">
        <f>МДанные!E158</f>
        <v>Изоляторов больше, чем устройств данного типа</v>
      </c>
      <c r="I69" s="465"/>
      <c r="J69" s="465"/>
      <c r="K69" s="3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5">
      <c r="A70" s="3"/>
      <c r="B70" s="33"/>
      <c r="C70" s="75" t="s">
        <v>867</v>
      </c>
      <c r="D70" s="368">
        <f>D69-D68</f>
        <v>222</v>
      </c>
      <c r="E70" s="33"/>
      <c r="F70" s="33"/>
      <c r="G70" s="33"/>
      <c r="H70" s="465" t="str">
        <f>МДанные!E159</f>
        <v>Указано больше ВУОСов, чем извещателей</v>
      </c>
      <c r="I70" s="465"/>
      <c r="J70" s="465"/>
      <c r="K70" s="3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5">
      <c r="A71" s="3"/>
      <c r="B71" s="33"/>
      <c r="C71" s="1"/>
      <c r="D71" s="1"/>
      <c r="E71" s="1"/>
      <c r="F71" s="1"/>
      <c r="G71" s="33"/>
      <c r="H71" s="465" t="str">
        <f>МДанные!E160</f>
        <v>Указано больше пультов, чем 6500(S)</v>
      </c>
      <c r="I71" s="465"/>
      <c r="J71" s="465"/>
      <c r="K71" s="3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5">
      <c r="A72" s="3"/>
      <c r="B72" s="33"/>
      <c r="C72" s="33" t="s">
        <v>787</v>
      </c>
      <c r="D72" s="33"/>
      <c r="E72" s="33"/>
      <c r="F72" s="33"/>
      <c r="G72" s="3"/>
      <c r="H72" s="474" t="str">
        <f>МДанные!E197</f>
        <v>Модуль не добавлен в расчет шкафа</v>
      </c>
      <c r="I72" s="474"/>
      <c r="J72" s="474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5">
      <c r="A73" s="3"/>
      <c r="B73" s="33"/>
      <c r="C73" s="77" t="s">
        <v>396</v>
      </c>
      <c r="D73" s="80">
        <f>МДанные!E68</f>
        <v>86</v>
      </c>
      <c r="E73" s="33"/>
      <c r="F73" s="3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5">
      <c r="A74" s="3"/>
      <c r="B74" s="33"/>
      <c r="C74" s="75" t="s">
        <v>397</v>
      </c>
      <c r="D74" s="76">
        <f>D67*МДанные!D79+D73</f>
        <v>86</v>
      </c>
      <c r="E74" s="33"/>
      <c r="F74" s="3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3"/>
      <c r="B75" s="33"/>
      <c r="C75" s="77" t="s">
        <v>398</v>
      </c>
      <c r="D75" s="81">
        <f>D68*МДанные!D79+D73</f>
        <v>86</v>
      </c>
      <c r="E75" s="33"/>
      <c r="F75" s="3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5">
      <c r="A76" s="3"/>
      <c r="B76" s="33"/>
      <c r="C76" s="75" t="str">
        <f>"Ёмкость АКБ, необходимая для выполнения правила "&amp;МДанные!D103&amp;"+"&amp;МДанные!D104&amp;", Ач"</f>
        <v>Ёмкость АКБ, необходимая для выполнения правила 24+3, Ач</v>
      </c>
      <c r="D76" s="82">
        <f>(D74*МДанные!D103+D75*МДанные!D104)*МДанные!D102/1000</f>
        <v>2.9024999999999999</v>
      </c>
      <c r="E76" s="33"/>
      <c r="F76" s="3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5">
      <c r="A77" s="3"/>
      <c r="B77" s="33"/>
      <c r="C77" s="33"/>
      <c r="D77" s="33"/>
      <c r="E77" s="33"/>
      <c r="F77" s="3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5">
      <c r="A78" s="3"/>
      <c r="B78" s="33"/>
      <c r="C78" s="33" t="s">
        <v>788</v>
      </c>
      <c r="D78" s="33"/>
      <c r="E78" s="33"/>
      <c r="F78" s="3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39" x14ac:dyDescent="0.25">
      <c r="A79" s="3"/>
      <c r="B79" s="33"/>
      <c r="C79" s="377" t="s">
        <v>232</v>
      </c>
      <c r="D79" s="378" t="s">
        <v>179</v>
      </c>
      <c r="E79" s="379" t="s">
        <v>178</v>
      </c>
      <c r="F79" s="3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5">
      <c r="A80" s="3"/>
      <c r="B80" s="33"/>
      <c r="C80" s="376">
        <v>0.75</v>
      </c>
      <c r="D80" s="86">
        <f>MIN(МДанные!D$108+МДанные!D$109*МДанные!D$110,(МДанные!D$119/E80*(1-МДанные!D$116/100))*1000)</f>
        <v>6000</v>
      </c>
      <c r="E80" s="370">
        <f>МДанные!D$114*МДанные!D$115/C80</f>
        <v>48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5">
      <c r="A81" s="3"/>
      <c r="B81" s="33"/>
      <c r="C81" s="87">
        <v>1</v>
      </c>
      <c r="D81" s="84">
        <f>MIN(МДанные!D$108+МДанные!D$109*МДанные!D$110,(МДанные!D$119/E81*(1-МДанные!D$116/100))*1000)</f>
        <v>6000</v>
      </c>
      <c r="E81" s="83">
        <f>МДанные!D$114*МДанные!D$115/C81</f>
        <v>36</v>
      </c>
      <c r="F81" s="3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3"/>
      <c r="B82" s="33"/>
      <c r="C82" s="85">
        <v>1.5</v>
      </c>
      <c r="D82" s="86">
        <f>MIN(МДанные!D$108+МДанные!D$109*МДанные!D$110,(МДанные!D$119/E82*(1-МДанные!D$116/100))*1000)</f>
        <v>6000</v>
      </c>
      <c r="E82" s="85">
        <f>МДанные!D$114*МДанные!D$115/C82</f>
        <v>24</v>
      </c>
      <c r="F82" s="3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5">
      <c r="A83" s="3"/>
      <c r="B83" s="33"/>
      <c r="C83" s="87">
        <v>2</v>
      </c>
      <c r="D83" s="84">
        <f>MIN(МДанные!D$108+МДанные!D$109*МДанные!D$110,(МДанные!D$119/E83*(1-МДанные!D$116/100))*1000)</f>
        <v>6000</v>
      </c>
      <c r="E83" s="83">
        <f>МДанные!D$114*МДанные!D$115/C83</f>
        <v>18</v>
      </c>
      <c r="F83" s="3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5">
      <c r="A84" s="3"/>
      <c r="B84" s="33"/>
      <c r="C84" s="85">
        <v>2.5</v>
      </c>
      <c r="D84" s="86">
        <f>MIN(МДанные!D$108+МДанные!D$109*МДанные!D$110,(МДанные!D$119/E84*(1-МДанные!D$116/100))*1000)</f>
        <v>6000</v>
      </c>
      <c r="E84" s="85">
        <f>МДанные!D$114*МДанные!D$115/C84</f>
        <v>14.4</v>
      </c>
      <c r="F84" s="3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3"/>
      <c r="B85" s="33"/>
      <c r="C85" s="33"/>
      <c r="D85" s="33"/>
      <c r="E85" s="33"/>
      <c r="F85" s="3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5">
      <c r="A86" s="3"/>
      <c r="B86" s="33"/>
      <c r="C86" s="33" t="s">
        <v>789</v>
      </c>
      <c r="D86" s="33"/>
      <c r="E86" s="33"/>
      <c r="F86" s="3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5">
      <c r="A87" s="3"/>
      <c r="B87" s="33"/>
      <c r="C87" s="88" t="s">
        <v>174</v>
      </c>
      <c r="D87" s="89">
        <f>SUM(D8:D22,D24:D37,D39:D55)</f>
        <v>0</v>
      </c>
      <c r="E87" s="33"/>
      <c r="F87" s="3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5">
      <c r="A88" s="3"/>
      <c r="B88" s="33"/>
      <c r="C88" s="90" t="s">
        <v>175</v>
      </c>
      <c r="D88" s="91">
        <f>MIN(SUM(D8:D18),60)+D89</f>
        <v>0</v>
      </c>
      <c r="E88" s="79" t="str">
        <f>IF(МДанные!D185,"&gt;"&amp;МДанные!D138," ")</f>
        <v xml:space="preserve"> </v>
      </c>
      <c r="F88" s="3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5">
      <c r="A89" s="3"/>
      <c r="B89" s="33"/>
      <c r="C89" s="88" t="s">
        <v>281</v>
      </c>
      <c r="D89" s="92">
        <f>SUM(D19:D20,2*D21,2*D22)+MAX(SUM(D8:D18)-60,0)</f>
        <v>0</v>
      </c>
      <c r="E89" s="79" t="str">
        <f>IF(МДанные!D186,"&gt;"&amp;МДанные!D139," ")</f>
        <v xml:space="preserve"> </v>
      </c>
      <c r="F89" s="3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5">
      <c r="A90" s="3"/>
      <c r="B90" s="33"/>
      <c r="C90" s="90" t="s">
        <v>282</v>
      </c>
      <c r="D90" s="91">
        <f>MIN(SUM(D24:D32,2*D33,3*D34,D35:D36,D39:D55,5*D37),60)+D91</f>
        <v>0</v>
      </c>
      <c r="E90" s="79" t="str">
        <f>IF(МДанные!D187,"&gt;"&amp;МДанные!D138," ")</f>
        <v xml:space="preserve"> </v>
      </c>
      <c r="F90" s="3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5">
      <c r="A91" s="3"/>
      <c r="B91" s="33"/>
      <c r="C91" s="88" t="s">
        <v>283</v>
      </c>
      <c r="D91" s="92">
        <f>SUM(D20,2*D21,2*D22)+MAX(SUM(D24:D32,2*D33,3*D34,D35:D36,D39:D55,5*D37)-60,0)</f>
        <v>0</v>
      </c>
      <c r="E91" s="79" t="str">
        <f>IF(МДанные!D188,"&gt;"&amp;МДанные!D139," ")</f>
        <v xml:space="preserve"> </v>
      </c>
      <c r="F91" s="3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5">
      <c r="A92" s="3"/>
      <c r="B92" s="33"/>
      <c r="C92" s="90" t="s">
        <v>176</v>
      </c>
      <c r="D92" s="91">
        <f>SUM(МДанные!Y8:Y56)</f>
        <v>0</v>
      </c>
      <c r="E92" s="33"/>
      <c r="F92" s="3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5">
      <c r="A93" s="3"/>
      <c r="B93" s="33"/>
      <c r="C93" s="88" t="s">
        <v>248</v>
      </c>
      <c r="D93" s="89">
        <f>IF(D92&gt;0,D87/D92,0)</f>
        <v>0</v>
      </c>
      <c r="E93" s="93" t="str">
        <f>IF(МДанные!D190,"&lt;"&amp;Nix,IF(МДанные!D189,"&lt;"&amp;Nir," "))</f>
        <v xml:space="preserve"> </v>
      </c>
      <c r="F93" s="3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5">
      <c r="A94" s="3"/>
      <c r="B94" s="33"/>
      <c r="C94" s="90" t="s">
        <v>177</v>
      </c>
      <c r="D94" s="94">
        <f>D19</f>
        <v>0</v>
      </c>
      <c r="E94" s="33"/>
      <c r="F94" s="3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3"/>
      <c r="B95" s="33"/>
      <c r="C95" s="88" t="s">
        <v>230</v>
      </c>
      <c r="D95" s="89">
        <f>IF(AND(D59=0,D19&gt;0),"ОШИБКА",D19/MAX(1,D59))</f>
        <v>0</v>
      </c>
      <c r="E95" s="79" t="str">
        <f>IF(AND(МДанные!D193,NOT(МДанные!D191)),"&gt;"&amp;МДанные!D143,IF(МДанные!D192,"&lt;1",""))</f>
        <v/>
      </c>
      <c r="F95" s="3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5">
      <c r="A96" s="3"/>
      <c r="B96" s="33"/>
      <c r="C96" s="33" t="s">
        <v>790</v>
      </c>
      <c r="D96" s="34"/>
      <c r="E96" s="34"/>
      <c r="F96" s="3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5">
      <c r="A97" s="3"/>
      <c r="B97" s="33"/>
      <c r="C97" s="29" t="s">
        <v>229</v>
      </c>
      <c r="D97" s="35">
        <f>SUM(J8:J22,J24:J35,J57:J58)</f>
        <v>0</v>
      </c>
      <c r="E97" s="33"/>
      <c r="F97" s="3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5">
      <c r="A98" s="3"/>
      <c r="B98" s="33"/>
      <c r="C98" s="31" t="s">
        <v>343</v>
      </c>
      <c r="D98" s="32">
        <f>SUM(J39:J55)</f>
        <v>0</v>
      </c>
      <c r="E98" s="33"/>
      <c r="F98" s="3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5">
      <c r="A99" s="3"/>
      <c r="B99" s="3"/>
      <c r="C99" s="29" t="s">
        <v>180</v>
      </c>
      <c r="D99" s="30">
        <f>IF(МДанные!D74=МДанные!D134,MIN(2,D92)*МДанные!D128,0)</f>
        <v>0</v>
      </c>
      <c r="E99" s="33"/>
      <c r="F99" s="3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5">
      <c r="A100" s="3"/>
      <c r="B100" s="3"/>
      <c r="C100" s="31" t="s">
        <v>181</v>
      </c>
      <c r="D100" s="32">
        <f>SUMPRODUCT(МДанные!K8:K56,МДанные!Y8:Y56)</f>
        <v>0</v>
      </c>
      <c r="E100" s="3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7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7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7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7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7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7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7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7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7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7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7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7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7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7" x14ac:dyDescent="0.25">
      <c r="A158" s="50"/>
      <c r="B158" s="49" t="s">
        <v>260</v>
      </c>
      <c r="C158" s="49"/>
      <c r="D158" s="49"/>
      <c r="E158" s="49"/>
      <c r="F158" s="49"/>
      <c r="G158" s="49"/>
      <c r="H158" s="49"/>
      <c r="I158" s="49"/>
      <c r="J158" s="49"/>
      <c r="K158" s="49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49"/>
    </row>
    <row r="159" spans="1:27" x14ac:dyDescent="0.25">
      <c r="A159" s="50"/>
      <c r="B159" s="45" t="s">
        <v>334</v>
      </c>
      <c r="C159" t="s">
        <v>352</v>
      </c>
      <c r="D159" s="49"/>
      <c r="E159" s="49"/>
      <c r="F159" s="49"/>
      <c r="G159" s="49"/>
      <c r="H159" s="49"/>
      <c r="I159" s="49"/>
      <c r="J159" s="49"/>
      <c r="K159" s="49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49"/>
    </row>
    <row r="160" spans="1:27" x14ac:dyDescent="0.25">
      <c r="A160" s="50"/>
      <c r="B160" s="49" t="s">
        <v>370</v>
      </c>
      <c r="C160" s="49" t="s">
        <v>371</v>
      </c>
      <c r="D160" s="49"/>
      <c r="E160" s="49"/>
      <c r="F160" s="49"/>
      <c r="G160" s="49"/>
      <c r="H160" s="49"/>
      <c r="I160" s="49"/>
      <c r="J160" s="49"/>
      <c r="K160" s="49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49"/>
    </row>
    <row r="161" spans="1:27" x14ac:dyDescent="0.25">
      <c r="A161" s="50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49"/>
    </row>
    <row r="162" spans="1:27" x14ac:dyDescent="0.25">
      <c r="A162" s="50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49"/>
    </row>
    <row r="163" spans="1:27" x14ac:dyDescent="0.25">
      <c r="A163" s="50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49"/>
    </row>
    <row r="164" spans="1:27" x14ac:dyDescent="0.25">
      <c r="A164" s="50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49"/>
    </row>
    <row r="165" spans="1:27" x14ac:dyDescent="0.25">
      <c r="A165" s="50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49"/>
    </row>
    <row r="166" spans="1:27" x14ac:dyDescent="0.25">
      <c r="A166" s="50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49"/>
    </row>
    <row r="167" spans="1:27" x14ac:dyDescent="0.25">
      <c r="A167" s="50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49"/>
    </row>
    <row r="168" spans="1:27" x14ac:dyDescent="0.25">
      <c r="A168" s="50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49"/>
    </row>
    <row r="169" spans="1:27" x14ac:dyDescent="0.25">
      <c r="A169" s="50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49"/>
    </row>
    <row r="170" spans="1:27" x14ac:dyDescent="0.25">
      <c r="A170" s="50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49"/>
    </row>
    <row r="171" spans="1:27" x14ac:dyDescent="0.25">
      <c r="A171" s="50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49"/>
    </row>
    <row r="172" spans="1:27" x14ac:dyDescent="0.25">
      <c r="A172" s="50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49"/>
    </row>
    <row r="173" spans="1:27" x14ac:dyDescent="0.25">
      <c r="A173" s="50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49"/>
    </row>
    <row r="174" spans="1:27" x14ac:dyDescent="0.25">
      <c r="A174" s="50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49"/>
    </row>
    <row r="175" spans="1:27" x14ac:dyDescent="0.25">
      <c r="A175" s="50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49"/>
    </row>
    <row r="176" spans="1:27" x14ac:dyDescent="0.25">
      <c r="A176" s="50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49"/>
    </row>
    <row r="177" spans="1:27" x14ac:dyDescent="0.25">
      <c r="A177" s="50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49"/>
    </row>
    <row r="178" spans="1:27" x14ac:dyDescent="0.25">
      <c r="A178" s="50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49"/>
    </row>
    <row r="179" spans="1:27" x14ac:dyDescent="0.25">
      <c r="A179" s="50"/>
      <c r="B179" s="50"/>
      <c r="C179" s="49"/>
      <c r="D179" s="49"/>
      <c r="E179" s="49"/>
      <c r="F179" s="49"/>
      <c r="G179" s="49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49"/>
    </row>
    <row r="180" spans="1:27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49"/>
    </row>
    <row r="181" spans="1:27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49"/>
    </row>
    <row r="182" spans="1:27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49"/>
    </row>
    <row r="183" spans="1:27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49"/>
    </row>
    <row r="184" spans="1:27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49"/>
    </row>
    <row r="185" spans="1:27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49"/>
    </row>
    <row r="186" spans="1:27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49"/>
    </row>
    <row r="187" spans="1:27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49"/>
    </row>
    <row r="188" spans="1:27" x14ac:dyDescent="0.25">
      <c r="A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</row>
  </sheetData>
  <sheetProtection password="DF98" sheet="1" objects="1" scenarios="1"/>
  <dataConsolidate/>
  <mergeCells count="68">
    <mergeCell ref="B31:C31"/>
    <mergeCell ref="B36:C36"/>
    <mergeCell ref="H72:J72"/>
    <mergeCell ref="B8:C8"/>
    <mergeCell ref="C2:I2"/>
    <mergeCell ref="B6:C6"/>
    <mergeCell ref="B7:I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26:C26"/>
    <mergeCell ref="B27:C27"/>
    <mergeCell ref="B28:C28"/>
    <mergeCell ref="B29:C29"/>
    <mergeCell ref="B30:C30"/>
    <mergeCell ref="H69:J69"/>
    <mergeCell ref="H70:J70"/>
    <mergeCell ref="H71:J71"/>
    <mergeCell ref="H66:J66"/>
    <mergeCell ref="H67:J67"/>
    <mergeCell ref="B55:C55"/>
    <mergeCell ref="B56:I56"/>
    <mergeCell ref="B57:C57"/>
    <mergeCell ref="B58:C58"/>
    <mergeCell ref="H68:J68"/>
    <mergeCell ref="B59:C59"/>
    <mergeCell ref="B60:C60"/>
    <mergeCell ref="H63:J63"/>
    <mergeCell ref="H64:J64"/>
    <mergeCell ref="H65:J65"/>
    <mergeCell ref="B54:C54"/>
    <mergeCell ref="B51:C51"/>
    <mergeCell ref="B33:C33"/>
    <mergeCell ref="B34:C34"/>
    <mergeCell ref="B35:C35"/>
    <mergeCell ref="B37:C37"/>
    <mergeCell ref="B38:I38"/>
    <mergeCell ref="B39:C39"/>
    <mergeCell ref="B41:C41"/>
    <mergeCell ref="B43:C43"/>
    <mergeCell ref="B45:C45"/>
    <mergeCell ref="B53:C53"/>
    <mergeCell ref="B49:C49"/>
    <mergeCell ref="B40:C40"/>
    <mergeCell ref="B42:C42"/>
    <mergeCell ref="B44:C44"/>
    <mergeCell ref="K4:L5"/>
    <mergeCell ref="C3:I3"/>
    <mergeCell ref="B48:C48"/>
    <mergeCell ref="B50:C50"/>
    <mergeCell ref="B52:C52"/>
    <mergeCell ref="B46:C46"/>
    <mergeCell ref="B47:C47"/>
    <mergeCell ref="B17:C17"/>
    <mergeCell ref="B18:C18"/>
    <mergeCell ref="B19:C19"/>
    <mergeCell ref="B32:C32"/>
    <mergeCell ref="B21:C21"/>
    <mergeCell ref="B22:C22"/>
    <mergeCell ref="B23:I23"/>
    <mergeCell ref="B24:C24"/>
    <mergeCell ref="B25:C25"/>
  </mergeCells>
  <conditionalFormatting sqref="B8:K17 B18:J18 B19:K19 B20:J22 B24:K29 B30:J36 B37:K37 B39:K55 B57:J60">
    <cfRule type="expression" dxfId="107" priority="2145">
      <formula>$D8&gt;0</formula>
    </cfRule>
  </conditionalFormatting>
  <conditionalFormatting sqref="F8:H22 J8:J22 D97:D98 D100 F39:H55 J39:J55 F24:H37 J24:J37 F57:H60 J57:J60">
    <cfRule type="expression" dxfId="106" priority="5">
      <formula>D8&gt;0</formula>
    </cfRule>
  </conditionalFormatting>
  <conditionalFormatting sqref="K37">
    <cfRule type="expression" dxfId="105" priority="21">
      <formula>$D37&gt;0</formula>
    </cfRule>
  </conditionalFormatting>
  <conditionalFormatting sqref="K18 K20:K22 K30:K36">
    <cfRule type="expression" dxfId="104" priority="2153">
      <formula>$K18&gt;0</formula>
    </cfRule>
  </conditionalFormatting>
  <conditionalFormatting sqref="K18 K20:K22 B18 B20:C22 K30:K36 B30:C36">
    <cfRule type="expression" dxfId="103" priority="1852">
      <formula>$K18&gt;$D18</formula>
    </cfRule>
  </conditionalFormatting>
  <dataValidations count="2">
    <dataValidation type="whole" allowBlank="1" showInputMessage="1" showErrorMessage="1" error="Количество изоляторов превышает количество устройств!" sqref="K30:K36 K18 K20:K22">
      <formula1>0</formula1>
      <formula2>D18</formula2>
    </dataValidation>
    <dataValidation allowBlank="1" showInputMessage="1" showErrorMessage="1" error="Введите значение из выпадающего списка!" sqref="L35:L36"/>
  </dataValidations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orelDraw.Graphic.17" shapeId="6145" r:id="rId4">
          <objectPr defaultSize="0" autoPict="0" r:id="rId5">
            <anchor moveWithCells="1">
              <from>
                <xdr:col>1</xdr:col>
                <xdr:colOff>0</xdr:colOff>
                <xdr:row>0</xdr:row>
                <xdr:rowOff>85725</xdr:rowOff>
              </from>
              <to>
                <xdr:col>2</xdr:col>
                <xdr:colOff>1847850</xdr:colOff>
                <xdr:row>2</xdr:row>
                <xdr:rowOff>76200</xdr:rowOff>
              </to>
            </anchor>
          </objectPr>
        </oleObject>
      </mc:Choice>
      <mc:Fallback>
        <oleObject progId="CorelDraw.Graphic.17" shapeId="6145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21" id="{F49FC3E2-06A0-4682-8220-78E93F195631}">
            <xm:f>OR(МДанные!$D$191,МДанные!$D$193)</xm:f>
            <x14:dxf>
              <fill>
                <patternFill>
                  <bgColor rgb="FFFF0000"/>
                </patternFill>
              </fill>
            </x14:dxf>
          </x14:cfRule>
          <xm:sqref>D59 D19</xm:sqref>
        </x14:conditionalFormatting>
        <x14:conditionalFormatting xmlns:xm="http://schemas.microsoft.com/office/excel/2006/main">
          <x14:cfRule type="expression" priority="27" id="{685EA048-28DA-4715-8D6E-2B380513D0FE}">
            <xm:f>$D$63&lt;&gt;МДанные!$D$94</xm:f>
            <x14:dxf>
              <fill>
                <patternFill>
                  <bgColor rgb="FFFFFF00"/>
                </patternFill>
              </fill>
            </x14:dxf>
          </x14:cfRule>
          <xm:sqref>C63:D63</xm:sqref>
        </x14:conditionalFormatting>
        <x14:conditionalFormatting xmlns:xm="http://schemas.microsoft.com/office/excel/2006/main">
          <x14:cfRule type="expression" priority="28" id="{CB0DF071-3A5B-4D4E-9E88-1CD187C7FD75}">
            <xm:f>$D$64=МДанные!$D$98</xm:f>
            <x14:dxf>
              <fill>
                <patternFill>
                  <bgColor rgb="FFFFFF00"/>
                </patternFill>
              </fill>
            </x14:dxf>
          </x14:cfRule>
          <xm:sqref>C64:D64</xm:sqref>
        </x14:conditionalFormatting>
        <x14:conditionalFormatting xmlns:xm="http://schemas.microsoft.com/office/excel/2006/main">
          <x14:cfRule type="expression" priority="1716" id="{02FFA752-7048-464A-BE15-2D619EED50E7}">
            <xm:f>МДанные!$D$184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H64 D68</xm:sqref>
        </x14:conditionalFormatting>
        <x14:conditionalFormatting xmlns:xm="http://schemas.microsoft.com/office/excel/2006/main">
          <x14:cfRule type="expression" priority="1719" id="{2071048F-B57E-424D-8EDB-CE47BBB47BFE}">
            <xm:f>МДанные!$D$187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H66 D90</xm:sqref>
        </x14:conditionalFormatting>
        <x14:conditionalFormatting xmlns:xm="http://schemas.microsoft.com/office/excel/2006/main">
          <x14:cfRule type="expression" priority="23" id="{AF40CFC0-773F-45F8-8C8C-841009BFB124}">
            <xm:f>AND($D19&gt;0,МДанные!$D$186)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D19:D22</xm:sqref>
        </x14:conditionalFormatting>
        <x14:conditionalFormatting xmlns:xm="http://schemas.microsoft.com/office/excel/2006/main">
          <x14:cfRule type="expression" priority="1725" id="{8D7699C9-6351-4ECA-8FF1-0FAB5F78129E}">
            <xm:f>МДанные!$D$194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H69:J69</xm:sqref>
        </x14:conditionalFormatting>
        <x14:conditionalFormatting xmlns:xm="http://schemas.microsoft.com/office/excel/2006/main">
          <x14:cfRule type="expression" priority="1847" id="{02FFA752-7048-464A-BE15-2D619EED50E7}">
            <xm:f>МДанные!$D$185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H65 D88</xm:sqref>
        </x14:conditionalFormatting>
        <x14:conditionalFormatting xmlns:xm="http://schemas.microsoft.com/office/excel/2006/main">
          <x14:cfRule type="expression" priority="22" id="{7ED7147B-1316-4813-B00D-0A123C03A396}">
            <xm:f>AND($D8&gt;0,МДанные!$D$185)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D8:D22</xm:sqref>
        </x14:conditionalFormatting>
        <x14:conditionalFormatting xmlns:xm="http://schemas.microsoft.com/office/excel/2006/main">
          <x14:cfRule type="expression" priority="1850" id="{2071048F-B57E-424D-8EDB-CE47BBB47BFE}">
            <xm:f>МДанные!$D$188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H66 D91</xm:sqref>
        </x14:conditionalFormatting>
        <x14:conditionalFormatting xmlns:xm="http://schemas.microsoft.com/office/excel/2006/main">
          <x14:cfRule type="expression" priority="29" id="{AF40CFC0-773F-45F8-8C8C-841009BFB124}">
            <xm:f>AND($D20&gt;0,МДанные!$D$187)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D24:D34 D20:D22 D39:D55 D37</xm:sqref>
        </x14:conditionalFormatting>
        <x14:conditionalFormatting xmlns:xm="http://schemas.microsoft.com/office/excel/2006/main">
          <x14:cfRule type="expression" priority="1856" id="{8D7699C9-6351-4ECA-8FF1-0FAB5F78129E}">
            <xm:f>МДанные!$D$195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H70:J70</xm:sqref>
        </x14:conditionalFormatting>
        <x14:conditionalFormatting xmlns:xm="http://schemas.microsoft.com/office/excel/2006/main">
          <x14:cfRule type="expression" priority="1857" id="{A6F137E9-E92A-452A-8784-B89F7D0C5D46}">
            <xm:f>МДанные!$D$189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14:cfRule type="expression" priority="4" id="{C87DEDAC-E3B4-47AF-9B43-192ABAFE5783}">
            <xm:f>МДанные!$D$190</xm:f>
            <x14:dxf>
              <font>
                <b/>
                <i val="0"/>
              </font>
              <fill>
                <patternFill>
                  <bgColor rgb="FFFF0000"/>
                </patternFill>
              </fill>
            </x14:dxf>
          </x14:cfRule>
          <xm:sqref>H67 D93</xm:sqref>
        </x14:conditionalFormatting>
        <x14:conditionalFormatting xmlns:xm="http://schemas.microsoft.com/office/excel/2006/main">
          <x14:cfRule type="expression" priority="1860" id="{50621724-AAAE-4CBF-A85C-50540A59678A}">
            <xm:f>МДанные!$D$183</xm:f>
            <x14:dxf>
              <font>
                <b/>
                <i val="0"/>
                <color auto="1"/>
              </font>
              <fill>
                <patternFill>
                  <bgColor rgb="FF00B050"/>
                </patternFill>
              </fill>
            </x14:dxf>
          </x14:cfRule>
          <xm:sqref>H63:J63</xm:sqref>
        </x14:conditionalFormatting>
        <x14:conditionalFormatting xmlns:xm="http://schemas.microsoft.com/office/excel/2006/main">
          <x14:cfRule type="expression" priority="1861" id="{1CF03B30-CC5B-4C2F-942E-6300CF7AAACB}">
            <xm:f>МДанные!$D$186</xm:f>
            <x14:dxf>
              <font>
                <b/>
                <i val="0"/>
                <color auto="1"/>
              </font>
              <fill>
                <patternFill>
                  <fgColor auto="1"/>
                  <bgColor rgb="FFFF0000"/>
                </patternFill>
              </fill>
            </x14:dxf>
          </x14:cfRule>
          <xm:sqref>H65 D89</xm:sqref>
        </x14:conditionalFormatting>
        <x14:conditionalFormatting xmlns:xm="http://schemas.microsoft.com/office/excel/2006/main">
          <x14:cfRule type="expression" priority="1828" id="{60C3A0CC-8DC0-4AFB-B1C8-C38637950A4B}">
            <xm:f>AND($D20&gt;0,МДанные!$D$188)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D20:D22</xm:sqref>
        </x14:conditionalFormatting>
        <x14:conditionalFormatting xmlns:xm="http://schemas.microsoft.com/office/excel/2006/main">
          <x14:cfRule type="expression" priority="1935" id="{8D7699C9-6351-4ECA-8FF1-0FAB5F78129E}">
            <xm:f>МДанные!$D$196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H71:J71</xm:sqref>
        </x14:conditionalFormatting>
        <x14:conditionalFormatting xmlns:xm="http://schemas.microsoft.com/office/excel/2006/main">
          <x14:cfRule type="expression" priority="1936" id="{EE39D567-94A9-4F4E-AA22-1FA79B967A95}">
            <xm:f>МДанные!$D$192</xm:f>
            <x14:dxf>
              <fill>
                <patternFill>
                  <bgColor rgb="FFFFC000"/>
                </patternFill>
              </fill>
            </x14:dxf>
          </x14:cfRule>
          <xm:sqref>D19</xm:sqref>
        </x14:conditionalFormatting>
        <x14:conditionalFormatting xmlns:xm="http://schemas.microsoft.com/office/excel/2006/main">
          <x14:cfRule type="expression" priority="1937" id="{02F9FE5D-429F-4A10-A9F4-A1F05A577034}">
            <xm:f>OR(МДанные!$D$191,МДанные!$D$193)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expression" priority="1938" id="{DE15B29D-8EFD-4560-850C-185C2DE9C26E}">
            <xm:f>МДанные!$D$192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H68 D95</xm:sqref>
        </x14:conditionalFormatting>
        <x14:conditionalFormatting xmlns:xm="http://schemas.microsoft.com/office/excel/2006/main">
          <x14:cfRule type="expression" priority="1941" id="{BE772558-7A8E-48DE-989F-B74FADCCD4C0}">
            <xm:f>МДанные!$D$192</xm:f>
            <x14:dxf>
              <fill>
                <patternFill patternType="lightUp">
                  <fgColor rgb="FFFFC000"/>
                </patternFill>
              </fill>
            </x14:dxf>
          </x14:cfRule>
          <xm:sqref>B59:J60</xm:sqref>
        </x14:conditionalFormatting>
        <x14:conditionalFormatting xmlns:xm="http://schemas.microsoft.com/office/excel/2006/main">
          <x14:cfRule type="expression" priority="1942" id="{2717A010-7C57-4864-9F83-63AC689E5B26}">
            <xm:f>МДанные!$D$195</xm:f>
            <x14:dxf>
              <fill>
                <patternFill patternType="solid">
                  <fgColor rgb="FFFFC000"/>
                  <bgColor rgb="FFFFC000"/>
                </patternFill>
              </fill>
            </x14:dxf>
          </x14:cfRule>
          <xm:sqref>B57:D57 F57:J57</xm:sqref>
        </x14:conditionalFormatting>
        <x14:conditionalFormatting xmlns:xm="http://schemas.microsoft.com/office/excel/2006/main">
          <x14:cfRule type="expression" priority="1943" id="{CC477D9E-2DDD-4147-AEF5-435839D572EE}">
            <xm:f>МДанные!$D$192</xm:f>
            <x14:dxf>
              <font>
                <color rgb="FFFFC000"/>
              </font>
            </x14:dxf>
          </x14:cfRule>
          <xm:sqref>E95</xm:sqref>
        </x14:conditionalFormatting>
        <x14:conditionalFormatting xmlns:xm="http://schemas.microsoft.com/office/excel/2006/main">
          <x14:cfRule type="expression" priority="1849" id="{91D2D9F9-8931-4A56-ACA0-6639AFAFA630}">
            <xm:f>AND(МДанные!$D$195)</xm:f>
            <x14:dxf>
              <fill>
                <patternFill patternType="lightTrellis">
                  <fgColor rgb="FFFFC000"/>
                </patternFill>
              </fill>
            </x14:dxf>
          </x14:cfRule>
          <xm:sqref>D8:D17</xm:sqref>
        </x14:conditionalFormatting>
        <x14:conditionalFormatting xmlns:xm="http://schemas.microsoft.com/office/excel/2006/main">
          <x14:cfRule type="expression" priority="1945" id="{50607436-1F96-49B9-8F3E-2D6377F4EA8B}">
            <xm:f>МДанные!$D$196</xm:f>
            <x14:dxf>
              <fill>
                <patternFill>
                  <bgColor rgb="FFFFC000"/>
                </patternFill>
              </fill>
            </x14:dxf>
          </x14:cfRule>
          <xm:sqref>B58:D58 F58:J58</xm:sqref>
        </x14:conditionalFormatting>
        <x14:conditionalFormatting xmlns:xm="http://schemas.microsoft.com/office/excel/2006/main">
          <x14:cfRule type="expression" priority="1946" id="{87DD8715-90C8-4E89-BA23-D29B82C495F9}">
            <xm:f>МДанные!$D$196</xm:f>
            <x14:dxf>
              <fill>
                <patternFill patternType="lightTrellis">
                  <fgColor rgb="FFFFC000"/>
                </patternFill>
              </fill>
            </x14:dxf>
          </x14:cfRule>
          <xm:sqref>D18</xm:sqref>
        </x14:conditionalFormatting>
        <x14:conditionalFormatting xmlns:xm="http://schemas.microsoft.com/office/excel/2006/main">
          <x14:cfRule type="expression" priority="1947" id="{76D36844-A310-428F-9EEF-2E403B91CE23}">
            <xm:f>NOT(МДанные!$D$197)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H72:J72 C3</xm:sqref>
        </x14:conditionalFormatting>
        <x14:conditionalFormatting xmlns:xm="http://schemas.microsoft.com/office/excel/2006/main">
          <x14:cfRule type="expression" priority="2184" id="{A4F67E9A-6A4D-4A82-9277-684321D55332}">
            <xm:f>AND($L36&gt;0,МДанные!$D$161)</xm:f>
            <x14:dxf>
              <fill>
                <patternFill>
                  <bgColor rgb="FFFFC000"/>
                </patternFill>
              </fill>
            </x14:dxf>
          </x14:cfRule>
          <xm:sqref>L36</xm:sqref>
        </x14:conditionalFormatting>
        <x14:conditionalFormatting xmlns:xm="http://schemas.microsoft.com/office/excel/2006/main">
          <x14:cfRule type="expression" priority="2203" id="{CC688B86-1D35-4DE4-ACED-663FE58ED042}">
            <xm:f>AND($L30&gt;0,МДанные!$D$197)</xm:f>
            <x14:dxf>
              <fill>
                <patternFill>
                  <bgColor rgb="FFFFC000"/>
                </patternFill>
              </fill>
            </x14:dxf>
          </x14:cfRule>
          <xm:sqref>L30:L35</xm:sqref>
        </x14:conditionalFormatting>
        <x14:conditionalFormatting xmlns:xm="http://schemas.microsoft.com/office/excel/2006/main">
          <x14:cfRule type="expression" priority="1863" id="{1B84EF0E-1A31-4FF1-9FC8-3660DE8DC0C9}">
            <xm:f>AND(МДанные!$D$190,$D9&gt;0,$K9&gt;0)</xm:f>
            <x14:dxf>
              <fill>
                <patternFill patternType="darkUp">
                  <fgColor rgb="FFFF0000"/>
                </patternFill>
              </fill>
            </x14:dxf>
          </x14:cfRule>
          <x14:cfRule type="expression" priority="1944" id="{1B5E1116-EB44-4834-B7A7-4DC08AE5DE8F}">
            <xm:f>AND(МДанные!$D$189,$D9&gt;0,$K9&gt;0)</xm:f>
            <x14:dxf>
              <fill>
                <patternFill patternType="lightUp">
                  <fgColor rgb="FFFFC000"/>
                </patternFill>
              </fill>
            </x14:dxf>
          </x14:cfRule>
          <xm:sqref>B9:K9 B11:K11 B13:K13 B15:K15 B17:K17 B25:K25 B27:K27 B29:K29 B41:K42 B45:K46 B49:K50 B53:K54 K18 K20:K22 B18 B20:C22 K30:K36 B30:C36</xm:sqref>
        </x14:conditionalFormatting>
        <x14:conditionalFormatting xmlns:xm="http://schemas.microsoft.com/office/excel/2006/main">
          <x14:cfRule type="expression" priority="3" id="{690D15C9-944B-4496-AB02-6A2BAABC20ED}">
            <xm:f>МДанные!$D$190</xm:f>
            <x14:dxf>
              <font>
                <color rgb="FFFF0000"/>
              </font>
            </x14:dxf>
          </x14:cfRule>
          <xm:sqref>E93</xm:sqref>
        </x14:conditionalFormatting>
        <x14:conditionalFormatting xmlns:xm="http://schemas.microsoft.com/office/excel/2006/main">
          <x14:cfRule type="expression" priority="2" id="{C288493B-0E1C-47D6-9E2D-F22BC0CC7F8C}">
            <xm:f>AND($L39&lt;&gt;МДанные!$J$106,$D39&gt;0)</xm:f>
            <x14:dxf>
              <fill>
                <patternFill>
                  <bgColor rgb="FFFFFF00"/>
                </patternFill>
              </fill>
            </x14:dxf>
          </x14:cfRule>
          <xm:sqref>L39 L41 L43 L45 L47 L49 L51 L53</xm:sqref>
        </x14:conditionalFormatting>
        <x14:conditionalFormatting xmlns:xm="http://schemas.microsoft.com/office/excel/2006/main">
          <x14:cfRule type="expression" priority="1" id="{B4C9EEC0-287E-4710-9151-F6E6B9777684}">
            <xm:f>AND($L40&lt;&gt;МДанные!$J$74,$D40&gt;0)</xm:f>
            <x14:dxf>
              <fill>
                <patternFill>
                  <bgColor rgb="FFFFFF00"/>
                </patternFill>
              </fill>
            </x14:dxf>
          </x14:cfRule>
          <xm:sqref>L40 L42 L44 L46 L48 L50 L52 L54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="Введите значение из выпадающего списка!">
          <x14:formula1>
            <xm:f>МДанные!$D$98:$D$99</xm:f>
          </x14:formula1>
          <xm:sqref>D64</xm:sqref>
        </x14:dataValidation>
        <x14:dataValidation type="list" allowBlank="1" showInputMessage="1" showErrorMessage="1" error="Введите значение из выпадающего списка!">
          <x14:formula1>
            <xm:f>МДанные!$D$93:$D$95</xm:f>
          </x14:formula1>
          <xm:sqref>D63</xm:sqref>
        </x14:dataValidation>
        <x14:dataValidation type="whole" allowBlank="1" showErrorMessage="1" error="Превышено количество устройств данного типа! Сначала добавьте извещатели.">
          <x14:formula1>
            <xm:f>0</xm:f>
          </x14:formula1>
          <x14:formula2>
            <xm:f>МДанные!I59</xm:f>
          </x14:formula2>
          <xm:sqref>D57</xm:sqref>
        </x14:dataValidation>
        <x14:dataValidation type="whole" allowBlank="1" showErrorMessage="1" error="Превышено количество устройств данного типа! Сначала добавьте извещатели.">
          <x14:formula1>
            <xm:f>0</xm:f>
          </x14:formula1>
          <x14:formula2>
            <xm:f>МДанные!I63</xm:f>
          </x14:formula2>
          <xm:sqref>D58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МДанные!I65</xm:f>
          </x14:formula2>
          <xm:sqref>D59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МДанные!L8</xm:f>
          </x14:formula2>
          <xm:sqref>D8:D22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МДанные!L24</xm:f>
          </x14:formula2>
          <xm:sqref>D24:D37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МДанные!L39</xm:f>
          </x14:formula2>
          <xm:sqref>D39:D55</xm:sqref>
        </x14:dataValidation>
        <x14:dataValidation type="list" allowBlank="1" showInputMessage="1" showErrorMessage="1">
          <x14:formula1>
            <xm:f>МДанные!$J$106:$J$137</xm:f>
          </x14:formula1>
          <xm:sqref>L39 L41 L43 L45 L47 L49 L51 L53</xm:sqref>
        </x14:dataValidation>
        <x14:dataValidation type="list" allowBlank="1" showInputMessage="1" showErrorMessage="1">
          <x14:formula1>
            <xm:f>МДанные!$J$74:$J$105</xm:f>
          </x14:formula1>
          <xm:sqref>L40 L42 L44 L46 L48 L50 L52 L54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A188"/>
  <sheetViews>
    <sheetView workbookViewId="0">
      <pane ySplit="6" topLeftCell="A7" activePane="bottomLeft" state="frozen"/>
      <selection pane="bottomLeft" activeCell="D8" sqref="D8"/>
    </sheetView>
  </sheetViews>
  <sheetFormatPr defaultRowHeight="15" x14ac:dyDescent="0.25"/>
  <cols>
    <col min="1" max="1" width="1.5703125" customWidth="1"/>
    <col min="2" max="2" width="13.5703125" customWidth="1"/>
    <col min="3" max="3" width="68.5703125" customWidth="1"/>
    <col min="4" max="5" width="11.42578125" customWidth="1"/>
    <col min="6" max="12" width="17.140625" customWidth="1"/>
    <col min="13" max="24" width="14.28515625" customWidth="1"/>
  </cols>
  <sheetData>
    <row r="1" spans="1:26" x14ac:dyDescent="0.25">
      <c r="A1" s="3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0.25" x14ac:dyDescent="0.3">
      <c r="A2" s="3"/>
      <c r="B2" s="2"/>
      <c r="C2" s="475" t="s">
        <v>336</v>
      </c>
      <c r="D2" s="475"/>
      <c r="E2" s="475"/>
      <c r="F2" s="475"/>
      <c r="G2" s="475"/>
      <c r="H2" s="475"/>
      <c r="I2" s="475"/>
      <c r="J2" s="95"/>
      <c r="K2" s="95"/>
      <c r="L2" s="1"/>
      <c r="M2" s="1"/>
      <c r="N2" s="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x14ac:dyDescent="0.25">
      <c r="A3" s="3"/>
      <c r="B3" s="2"/>
      <c r="C3" s="482" t="str">
        <f>IF(МДанные!D215,"",H72)</f>
        <v>Модуль не добавлен в расчет шкафа</v>
      </c>
      <c r="D3" s="482"/>
      <c r="E3" s="482"/>
      <c r="F3" s="482"/>
      <c r="G3" s="482"/>
      <c r="H3" s="482"/>
      <c r="I3" s="482"/>
      <c r="J3" s="187"/>
      <c r="K3" s="187"/>
      <c r="L3" s="46"/>
      <c r="M3" s="46"/>
      <c r="N3" s="46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5">
      <c r="A4" s="3"/>
      <c r="B4" s="2"/>
      <c r="C4" s="2"/>
      <c r="D4" s="2"/>
      <c r="E4" s="1"/>
      <c r="F4" s="2"/>
      <c r="G4" s="2"/>
      <c r="H4" s="2"/>
      <c r="I4" s="2"/>
      <c r="J4" s="2"/>
      <c r="K4" s="449" t="s">
        <v>0</v>
      </c>
      <c r="L4" s="45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5">
      <c r="A5" s="3"/>
      <c r="B5" s="4"/>
      <c r="C5" s="4" t="s">
        <v>791</v>
      </c>
      <c r="D5" s="4"/>
      <c r="E5" s="1"/>
      <c r="F5" s="4"/>
      <c r="G5" s="4"/>
      <c r="H5" s="4"/>
      <c r="I5" s="4"/>
      <c r="J5" s="4"/>
      <c r="K5" s="451"/>
      <c r="L5" s="452"/>
      <c r="M5" s="1"/>
      <c r="N5" s="1"/>
      <c r="O5" s="1"/>
      <c r="P5" s="1"/>
      <c r="Q5" s="1"/>
      <c r="R5" s="1"/>
      <c r="S5" s="1"/>
      <c r="T5" s="1"/>
      <c r="U5" s="1"/>
      <c r="V5" s="1"/>
      <c r="W5" s="3"/>
      <c r="X5" s="3"/>
      <c r="Y5" s="3"/>
      <c r="Z5" s="3"/>
    </row>
    <row r="6" spans="1:26" ht="51" x14ac:dyDescent="0.25">
      <c r="A6" s="3"/>
      <c r="B6" s="468" t="s">
        <v>337</v>
      </c>
      <c r="C6" s="469"/>
      <c r="D6" s="5" t="s">
        <v>1</v>
      </c>
      <c r="E6" s="372" t="s">
        <v>871</v>
      </c>
      <c r="F6" s="5" t="s">
        <v>37</v>
      </c>
      <c r="G6" s="5" t="s">
        <v>38</v>
      </c>
      <c r="H6" s="5" t="s">
        <v>2</v>
      </c>
      <c r="I6" s="5" t="s">
        <v>41</v>
      </c>
      <c r="J6" s="6" t="s">
        <v>39</v>
      </c>
      <c r="K6" s="7" t="s">
        <v>40</v>
      </c>
      <c r="L6" s="25" t="s">
        <v>644</v>
      </c>
      <c r="M6" s="1"/>
      <c r="N6" s="1"/>
      <c r="O6" s="1"/>
      <c r="P6" s="1"/>
      <c r="Q6" s="1"/>
      <c r="R6" s="1"/>
      <c r="S6" s="1"/>
      <c r="T6" s="1"/>
      <c r="U6" s="1"/>
      <c r="V6" s="1"/>
      <c r="W6" s="43"/>
      <c r="X6" s="3"/>
      <c r="Y6" s="3"/>
      <c r="Z6" s="3"/>
    </row>
    <row r="7" spans="1:26" ht="15.75" x14ac:dyDescent="0.25">
      <c r="A7" s="3"/>
      <c r="B7" s="470" t="s">
        <v>3</v>
      </c>
      <c r="C7" s="471"/>
      <c r="D7" s="471"/>
      <c r="E7" s="471"/>
      <c r="F7" s="471"/>
      <c r="G7" s="471"/>
      <c r="H7" s="471"/>
      <c r="I7" s="471"/>
      <c r="J7" s="16"/>
      <c r="K7" s="381"/>
      <c r="L7" s="19"/>
      <c r="M7" s="1"/>
      <c r="N7" s="1"/>
      <c r="O7" s="1"/>
      <c r="P7" s="1"/>
      <c r="Q7" s="1"/>
      <c r="R7" s="1"/>
      <c r="S7" s="1"/>
      <c r="T7" s="1"/>
      <c r="U7" s="1"/>
      <c r="V7" s="1"/>
      <c r="W7" s="3"/>
      <c r="X7" s="3"/>
      <c r="Y7" s="3"/>
      <c r="Z7" s="3"/>
    </row>
    <row r="8" spans="1:26" x14ac:dyDescent="0.25">
      <c r="A8" s="3"/>
      <c r="B8" s="463" t="s">
        <v>4</v>
      </c>
      <c r="C8" s="464"/>
      <c r="D8" s="36">
        <v>0</v>
      </c>
      <c r="E8" s="373">
        <f>MAX(0,MIN(МДанные!AM8,МДанные!AN8,МДанные!AO8))+D8</f>
        <v>159</v>
      </c>
      <c r="F8" s="8">
        <f>МДанные!E8*МДанные!$D$77</f>
        <v>0.28499999999999998</v>
      </c>
      <c r="G8" s="8">
        <f>МДанные!F8*МДанные!$D$77</f>
        <v>3.3249999999999997</v>
      </c>
      <c r="H8" s="9">
        <f t="shared" ref="H8:H17" si="0">D8*F8</f>
        <v>0</v>
      </c>
      <c r="I8" s="8">
        <f>IF(D8&gt;МДанные!$D$82-МДанные!S8,МДанные!$D$82-МДанные!S8,D8)</f>
        <v>0</v>
      </c>
      <c r="J8" s="9">
        <f t="shared" ref="J8:J22" si="1">I8*G8</f>
        <v>0</v>
      </c>
      <c r="K8" s="10" t="str">
        <f>МДанные!D135</f>
        <v>НЕТ</v>
      </c>
      <c r="L8" s="17"/>
      <c r="M8" s="1"/>
      <c r="N8" s="1"/>
      <c r="O8" s="1"/>
      <c r="P8" s="1"/>
      <c r="Q8" s="1"/>
      <c r="R8" s="1"/>
      <c r="S8" s="1"/>
      <c r="T8" s="1"/>
      <c r="U8" s="1"/>
      <c r="V8" s="1"/>
      <c r="W8" s="44"/>
      <c r="X8" s="3"/>
      <c r="Y8" s="3"/>
      <c r="Z8" s="3"/>
    </row>
    <row r="9" spans="1:26" x14ac:dyDescent="0.25">
      <c r="A9" s="3"/>
      <c r="B9" s="461" t="s">
        <v>5</v>
      </c>
      <c r="C9" s="462"/>
      <c r="D9" s="36">
        <v>0</v>
      </c>
      <c r="E9" s="374">
        <f>MAX(0,MIN(МДанные!AM9,МДанные!AN9,МДанные!AO9))+D9</f>
        <v>0</v>
      </c>
      <c r="F9" s="11">
        <f>(МДанные!E9+МДанные!J9)*МДанные!$D$77</f>
        <v>0.33249999999999996</v>
      </c>
      <c r="G9" s="11">
        <f>МДанные!F9*МДанные!$D$77</f>
        <v>3.3249999999999997</v>
      </c>
      <c r="H9" s="12">
        <f t="shared" si="0"/>
        <v>0</v>
      </c>
      <c r="I9" s="11">
        <f>IF(D9&gt;МДанные!$D$82-МДанные!S9,МДанные!$D$82-МДанные!S9,D9)</f>
        <v>0</v>
      </c>
      <c r="J9" s="12">
        <f t="shared" si="1"/>
        <v>0</v>
      </c>
      <c r="K9" s="13">
        <f>D9</f>
        <v>0</v>
      </c>
      <c r="L9" s="18"/>
      <c r="M9" s="1"/>
      <c r="N9" s="1"/>
      <c r="O9" s="1"/>
      <c r="P9" s="1"/>
      <c r="Q9" s="1"/>
      <c r="R9" s="1"/>
      <c r="S9" s="1"/>
      <c r="T9" s="1"/>
      <c r="U9" s="1"/>
      <c r="V9" s="1"/>
      <c r="W9" s="44"/>
      <c r="X9" s="3"/>
      <c r="Y9" s="3"/>
      <c r="Z9" s="3"/>
    </row>
    <row r="10" spans="1:26" x14ac:dyDescent="0.25">
      <c r="A10" s="3"/>
      <c r="B10" s="463" t="s">
        <v>6</v>
      </c>
      <c r="C10" s="464"/>
      <c r="D10" s="36">
        <v>0</v>
      </c>
      <c r="E10" s="373">
        <f>MAX(0,MIN(МДанные!AM10,МДанные!AN10,МДанные!AO10))+D10</f>
        <v>159</v>
      </c>
      <c r="F10" s="8">
        <f>МДанные!E10*МДанные!$D$77</f>
        <v>0.28499999999999998</v>
      </c>
      <c r="G10" s="8">
        <f>МДанные!F10*МДанные!$D$77</f>
        <v>3.3249999999999997</v>
      </c>
      <c r="H10" s="9">
        <f t="shared" si="0"/>
        <v>0</v>
      </c>
      <c r="I10" s="8">
        <f>IF(D10&gt;МДанные!$D$82-МДанные!S10,МДанные!$D$82-МДанные!S10,D10)</f>
        <v>0</v>
      </c>
      <c r="J10" s="9">
        <f t="shared" si="1"/>
        <v>0</v>
      </c>
      <c r="K10" s="10" t="str">
        <f>МДанные!D135</f>
        <v>НЕТ</v>
      </c>
      <c r="L10" s="18"/>
      <c r="M10" s="1"/>
      <c r="N10" s="1"/>
      <c r="O10" s="1"/>
      <c r="P10" s="1"/>
      <c r="Q10" s="1"/>
      <c r="R10" s="1"/>
      <c r="S10" s="1"/>
      <c r="T10" s="1"/>
      <c r="U10" s="1"/>
      <c r="V10" s="1"/>
      <c r="W10" s="44"/>
      <c r="X10" s="3"/>
      <c r="Y10" s="3"/>
      <c r="Z10" s="3"/>
    </row>
    <row r="11" spans="1:26" x14ac:dyDescent="0.25">
      <c r="A11" s="3"/>
      <c r="B11" s="461" t="s">
        <v>7</v>
      </c>
      <c r="C11" s="462"/>
      <c r="D11" s="36">
        <v>0</v>
      </c>
      <c r="E11" s="374">
        <f>MAX(0,MIN(МДанные!AM11,МДанные!AN11,МДанные!AO11))+D11</f>
        <v>0</v>
      </c>
      <c r="F11" s="11">
        <f>(МДанные!E11+МДанные!J11)*МДанные!$D$77</f>
        <v>0.33249999999999996</v>
      </c>
      <c r="G11" s="11">
        <f>МДанные!F11*МДанные!$D$77</f>
        <v>3.3249999999999997</v>
      </c>
      <c r="H11" s="12">
        <f t="shared" si="0"/>
        <v>0</v>
      </c>
      <c r="I11" s="11">
        <f>IF(D11&gt;МДанные!$D$82-МДанные!S11,МДанные!$D$82-МДанные!S11,D11)</f>
        <v>0</v>
      </c>
      <c r="J11" s="12">
        <f t="shared" si="1"/>
        <v>0</v>
      </c>
      <c r="K11" s="13">
        <f>D11</f>
        <v>0</v>
      </c>
      <c r="L11" s="18"/>
      <c r="M11" s="1"/>
      <c r="N11" s="1"/>
      <c r="O11" s="1"/>
      <c r="P11" s="1"/>
      <c r="Q11" s="1"/>
      <c r="R11" s="1"/>
      <c r="S11" s="1"/>
      <c r="T11" s="1"/>
      <c r="U11" s="1"/>
      <c r="V11" s="1"/>
      <c r="W11" s="44"/>
      <c r="X11" s="3"/>
      <c r="Y11" s="3"/>
      <c r="Z11" s="3"/>
    </row>
    <row r="12" spans="1:26" x14ac:dyDescent="0.25">
      <c r="A12" s="3"/>
      <c r="B12" s="463" t="s">
        <v>8</v>
      </c>
      <c r="C12" s="464"/>
      <c r="D12" s="36">
        <v>0</v>
      </c>
      <c r="E12" s="373">
        <f>MAX(0,MIN(МДанные!AM12,МДанные!AN12,МДанные!AO12))+D12</f>
        <v>159</v>
      </c>
      <c r="F12" s="8">
        <f>МДанные!E12*МДанные!$D$77</f>
        <v>0.28499999999999998</v>
      </c>
      <c r="G12" s="8">
        <f>МДанные!F12*МДанные!$D$77</f>
        <v>3.3249999999999997</v>
      </c>
      <c r="H12" s="9">
        <f t="shared" si="0"/>
        <v>0</v>
      </c>
      <c r="I12" s="8">
        <f>IF(D12&gt;МДанные!$D$82-МДанные!S12,МДанные!$D$82-МДанные!S12,D12)</f>
        <v>0</v>
      </c>
      <c r="J12" s="9">
        <f t="shared" si="1"/>
        <v>0</v>
      </c>
      <c r="K12" s="10" t="str">
        <f>МДанные!D135</f>
        <v>НЕТ</v>
      </c>
      <c r="L12" s="18"/>
      <c r="M12" s="1"/>
      <c r="N12" s="1"/>
      <c r="O12" s="1"/>
      <c r="P12" s="1"/>
      <c r="Q12" s="1"/>
      <c r="R12" s="1"/>
      <c r="S12" s="1"/>
      <c r="T12" s="1"/>
      <c r="U12" s="1"/>
      <c r="V12" s="1"/>
      <c r="W12" s="44"/>
      <c r="X12" s="3"/>
      <c r="Y12" s="3"/>
      <c r="Z12" s="3"/>
    </row>
    <row r="13" spans="1:26" x14ac:dyDescent="0.25">
      <c r="A13" s="3"/>
      <c r="B13" s="461" t="s">
        <v>9</v>
      </c>
      <c r="C13" s="462"/>
      <c r="D13" s="36">
        <v>0</v>
      </c>
      <c r="E13" s="374">
        <f>MAX(0,MIN(МДанные!AM13,МДанные!AN13,МДанные!AO13))+D13</f>
        <v>0</v>
      </c>
      <c r="F13" s="11">
        <f>(МДанные!E13+МДанные!J13)*МДанные!$D$77</f>
        <v>0.33249999999999996</v>
      </c>
      <c r="G13" s="11">
        <f>МДанные!F13*МДанные!$D$77</f>
        <v>3.3249999999999997</v>
      </c>
      <c r="H13" s="12">
        <f t="shared" si="0"/>
        <v>0</v>
      </c>
      <c r="I13" s="11">
        <f>IF(D13&gt;МДанные!$D$82-МДанные!S13,МДанные!$D$82-МДанные!S13,D13)</f>
        <v>0</v>
      </c>
      <c r="J13" s="12">
        <f t="shared" si="1"/>
        <v>0</v>
      </c>
      <c r="K13" s="13">
        <f>D13</f>
        <v>0</v>
      </c>
      <c r="L13" s="18"/>
      <c r="M13" s="1"/>
      <c r="N13" s="1"/>
      <c r="O13" s="1"/>
      <c r="P13" s="1"/>
      <c r="Q13" s="1"/>
      <c r="R13" s="1"/>
      <c r="S13" s="1"/>
      <c r="T13" s="1"/>
      <c r="U13" s="1"/>
      <c r="V13" s="1"/>
      <c r="W13" s="44"/>
      <c r="X13" s="3"/>
      <c r="Y13" s="3"/>
      <c r="Z13" s="3"/>
    </row>
    <row r="14" spans="1:26" x14ac:dyDescent="0.25">
      <c r="A14" s="3"/>
      <c r="B14" s="463" t="s">
        <v>10</v>
      </c>
      <c r="C14" s="464"/>
      <c r="D14" s="36">
        <v>0</v>
      </c>
      <c r="E14" s="373">
        <f>MAX(0,MIN(МДанные!AM14,МДанные!AN14,МДанные!AO14))+D14</f>
        <v>159</v>
      </c>
      <c r="F14" s="8">
        <f>МДанные!E14*МДанные!$D$77</f>
        <v>0.28499999999999998</v>
      </c>
      <c r="G14" s="8">
        <f>МДанные!F14*МДанные!$D$77</f>
        <v>3.3249999999999997</v>
      </c>
      <c r="H14" s="9">
        <f t="shared" si="0"/>
        <v>0</v>
      </c>
      <c r="I14" s="8">
        <f>IF(D14&gt;МДанные!$D$82-МДанные!S14,МДанные!$D$82-МДанные!S14,D14)</f>
        <v>0</v>
      </c>
      <c r="J14" s="9">
        <f t="shared" si="1"/>
        <v>0</v>
      </c>
      <c r="K14" s="10" t="str">
        <f>МДанные!D135</f>
        <v>НЕТ</v>
      </c>
      <c r="L14" s="18"/>
      <c r="M14" s="1"/>
      <c r="N14" s="1"/>
      <c r="O14" s="1"/>
      <c r="P14" s="1"/>
      <c r="Q14" s="1"/>
      <c r="R14" s="1"/>
      <c r="S14" s="1"/>
      <c r="T14" s="1"/>
      <c r="U14" s="1"/>
      <c r="V14" s="1"/>
      <c r="W14" s="44"/>
      <c r="X14" s="3"/>
      <c r="Y14" s="3"/>
      <c r="Z14" s="3"/>
    </row>
    <row r="15" spans="1:26" x14ac:dyDescent="0.25">
      <c r="A15" s="3"/>
      <c r="B15" s="461" t="s">
        <v>11</v>
      </c>
      <c r="C15" s="462"/>
      <c r="D15" s="36">
        <v>0</v>
      </c>
      <c r="E15" s="374">
        <f>MAX(0,MIN(МДанные!AM15,МДанные!AN15,МДанные!AO15))+D15</f>
        <v>0</v>
      </c>
      <c r="F15" s="11">
        <f>(МДанные!E15+МДанные!J15)*МДанные!$D$77</f>
        <v>0.33249999999999996</v>
      </c>
      <c r="G15" s="11">
        <f>МДанные!F15*МДанные!$D$77</f>
        <v>3.3249999999999997</v>
      </c>
      <c r="H15" s="12">
        <f t="shared" si="0"/>
        <v>0</v>
      </c>
      <c r="I15" s="11">
        <f>IF(D15&gt;МДанные!$D$82-МДанные!S15,МДанные!$D$82-МДанные!S15,D15)</f>
        <v>0</v>
      </c>
      <c r="J15" s="12">
        <f t="shared" si="1"/>
        <v>0</v>
      </c>
      <c r="K15" s="13">
        <f>D15</f>
        <v>0</v>
      </c>
      <c r="L15" s="18"/>
      <c r="M15" s="1"/>
      <c r="N15" s="1"/>
      <c r="O15" s="1"/>
      <c r="P15" s="1"/>
      <c r="Q15" s="1"/>
      <c r="R15" s="1"/>
      <c r="S15" s="1"/>
      <c r="T15" s="1"/>
      <c r="U15" s="1"/>
      <c r="V15" s="1"/>
      <c r="W15" s="44"/>
      <c r="X15" s="3"/>
      <c r="Y15" s="3"/>
      <c r="Z15" s="3"/>
    </row>
    <row r="16" spans="1:26" x14ac:dyDescent="0.25">
      <c r="A16" s="3"/>
      <c r="B16" s="463" t="s">
        <v>12</v>
      </c>
      <c r="C16" s="464"/>
      <c r="D16" s="36">
        <v>0</v>
      </c>
      <c r="E16" s="373">
        <f>MAX(0,MIN(МДанные!AM16,МДанные!AN16,МДанные!AO16))+D16</f>
        <v>159</v>
      </c>
      <c r="F16" s="8">
        <f>МДанные!E16*МДанные!$D$77</f>
        <v>0.28499999999999998</v>
      </c>
      <c r="G16" s="8">
        <f>МДанные!F16*МДанные!$D$77</f>
        <v>3.3249999999999997</v>
      </c>
      <c r="H16" s="9">
        <f t="shared" si="0"/>
        <v>0</v>
      </c>
      <c r="I16" s="8">
        <f>IF(D16&gt;МДанные!$D$82-МДанные!S16,МДанные!$D$82-МДанные!S16,D16)</f>
        <v>0</v>
      </c>
      <c r="J16" s="9">
        <f t="shared" si="1"/>
        <v>0</v>
      </c>
      <c r="K16" s="10" t="str">
        <f>МДанные!D135</f>
        <v>НЕТ</v>
      </c>
      <c r="L16" s="18"/>
      <c r="M16" s="1"/>
      <c r="N16" s="1"/>
      <c r="O16" s="1"/>
      <c r="P16" s="1"/>
      <c r="Q16" s="1"/>
      <c r="R16" s="1"/>
      <c r="S16" s="1"/>
      <c r="T16" s="1"/>
      <c r="U16" s="1"/>
      <c r="V16" s="1"/>
      <c r="W16" s="44"/>
      <c r="X16" s="3"/>
      <c r="Y16" s="3"/>
      <c r="Z16" s="3"/>
    </row>
    <row r="17" spans="1:26" x14ac:dyDescent="0.25">
      <c r="A17" s="3"/>
      <c r="B17" s="461" t="s">
        <v>13</v>
      </c>
      <c r="C17" s="462"/>
      <c r="D17" s="36">
        <v>0</v>
      </c>
      <c r="E17" s="374">
        <f>MAX(0,MIN(МДанные!AM17,МДанные!AN17,МДанные!AO17))+D17</f>
        <v>0</v>
      </c>
      <c r="F17" s="11">
        <f>(МДанные!E17+МДанные!J17)*МДанные!$D$77</f>
        <v>0.33249999999999996</v>
      </c>
      <c r="G17" s="11">
        <f>МДанные!F17*МДанные!$D$77</f>
        <v>3.3249999999999997</v>
      </c>
      <c r="H17" s="12">
        <f t="shared" si="0"/>
        <v>0</v>
      </c>
      <c r="I17" s="11">
        <f>IF(D17&gt;МДанные!$D$82-МДанные!S17,МДанные!$D$82-МДанные!S17,D17)</f>
        <v>0</v>
      </c>
      <c r="J17" s="12">
        <f t="shared" si="1"/>
        <v>0</v>
      </c>
      <c r="K17" s="13">
        <f>D17</f>
        <v>0</v>
      </c>
      <c r="L17" s="18"/>
      <c r="M17" s="1"/>
      <c r="N17" s="1"/>
      <c r="O17" s="1"/>
      <c r="P17" s="1"/>
      <c r="Q17" s="1"/>
      <c r="R17" s="1"/>
      <c r="S17" s="1"/>
      <c r="T17" s="1"/>
      <c r="U17" s="1"/>
      <c r="V17" s="1"/>
      <c r="W17" s="44"/>
      <c r="X17" s="3"/>
      <c r="Y17" s="3"/>
      <c r="Z17" s="3"/>
    </row>
    <row r="18" spans="1:26" x14ac:dyDescent="0.25">
      <c r="A18" s="3"/>
      <c r="B18" s="463" t="s">
        <v>14</v>
      </c>
      <c r="C18" s="464"/>
      <c r="D18" s="36">
        <v>0</v>
      </c>
      <c r="E18" s="373">
        <f>MAX(0,MIN(МДанные!AM18,МДанные!AN18,МДанные!AO18))+D18</f>
        <v>100</v>
      </c>
      <c r="F18" s="8">
        <f>МДанные!E18*МДанные!$D$77</f>
        <v>1.9</v>
      </c>
      <c r="G18" s="8">
        <f>МДанные!F18*МДанные!$D$77</f>
        <v>6.1749999999999998</v>
      </c>
      <c r="H18" s="9">
        <f>F18*D18+МДанные!J18*МДанные!U18</f>
        <v>0</v>
      </c>
      <c r="I18" s="8">
        <f>IF(D18&gt;МДанные!$D$82-МДанные!S18,МДанные!$D$82-МДанные!S18,D18)</f>
        <v>0</v>
      </c>
      <c r="J18" s="9">
        <f t="shared" si="1"/>
        <v>0</v>
      </c>
      <c r="K18" s="38">
        <v>0</v>
      </c>
      <c r="L18" s="18"/>
      <c r="M18" s="1"/>
      <c r="N18" s="1"/>
      <c r="O18" s="1"/>
      <c r="P18" s="1"/>
      <c r="Q18" s="1"/>
      <c r="R18" s="1"/>
      <c r="S18" s="1"/>
      <c r="T18" s="1"/>
      <c r="U18" s="1"/>
      <c r="V18" s="1"/>
      <c r="W18" s="44"/>
      <c r="X18" s="3"/>
      <c r="Y18" s="3"/>
      <c r="Z18" s="3"/>
    </row>
    <row r="19" spans="1:26" x14ac:dyDescent="0.25">
      <c r="A19" s="3"/>
      <c r="B19" s="461" t="s">
        <v>15</v>
      </c>
      <c r="C19" s="462"/>
      <c r="D19" s="36">
        <v>0</v>
      </c>
      <c r="E19" s="374">
        <f>MAX(0,MIN(МДанные!AM19,МДанные!AN19,МДанные!AO19))+D19</f>
        <v>0</v>
      </c>
      <c r="F19" s="11">
        <f>МДанные!E19*МДанные!$D$77</f>
        <v>0.3135</v>
      </c>
      <c r="G19" s="11">
        <f>МДанные!F19*МДанные!$D$77</f>
        <v>3.04</v>
      </c>
      <c r="H19" s="12">
        <f>D19*F19</f>
        <v>0</v>
      </c>
      <c r="I19" s="11">
        <f>D19</f>
        <v>0</v>
      </c>
      <c r="J19" s="12">
        <f t="shared" si="1"/>
        <v>0</v>
      </c>
      <c r="K19" s="13" t="str">
        <f>МДанные!D135</f>
        <v>НЕТ</v>
      </c>
      <c r="L19" s="18"/>
      <c r="M19" s="1"/>
      <c r="N19" s="1"/>
      <c r="O19" s="1"/>
      <c r="P19" s="1"/>
      <c r="Q19" s="1"/>
      <c r="R19" s="1"/>
      <c r="S19" s="1"/>
      <c r="T19" s="1"/>
      <c r="U19" s="1"/>
      <c r="V19" s="1"/>
      <c r="W19" s="44"/>
      <c r="X19" s="3"/>
      <c r="Y19" s="3"/>
      <c r="Z19" s="3"/>
    </row>
    <row r="20" spans="1:26" x14ac:dyDescent="0.25">
      <c r="A20" s="3"/>
      <c r="B20" s="463" t="s">
        <v>16</v>
      </c>
      <c r="C20" s="464"/>
      <c r="D20" s="36">
        <v>0</v>
      </c>
      <c r="E20" s="373">
        <f>MAX(0,MIN(МДанные!AM20,МДанные!AN20,МДанные!AO20))+D20</f>
        <v>99</v>
      </c>
      <c r="F20" s="8">
        <f>МДанные!E20*МДанные!$D$77</f>
        <v>0.437</v>
      </c>
      <c r="G20" s="8">
        <f>МДанные!F20*МДанные!$D$77</f>
        <v>0</v>
      </c>
      <c r="H20" s="9">
        <f>F20*D20+МДанные!J20*МДанные!U20</f>
        <v>0</v>
      </c>
      <c r="I20" s="8">
        <v>0</v>
      </c>
      <c r="J20" s="9">
        <f t="shared" si="1"/>
        <v>0</v>
      </c>
      <c r="K20" s="39">
        <v>0</v>
      </c>
      <c r="L20" s="18"/>
      <c r="M20" s="1"/>
      <c r="N20" s="1"/>
      <c r="O20" s="1"/>
      <c r="P20" s="1"/>
      <c r="Q20" s="1"/>
      <c r="R20" s="1"/>
      <c r="S20" s="1"/>
      <c r="T20" s="1"/>
      <c r="U20" s="1"/>
      <c r="V20" s="1"/>
      <c r="W20" s="44"/>
      <c r="X20" s="3"/>
      <c r="Y20" s="3"/>
      <c r="Z20" s="3"/>
    </row>
    <row r="21" spans="1:26" x14ac:dyDescent="0.25">
      <c r="A21" s="3"/>
      <c r="B21" s="461" t="s">
        <v>17</v>
      </c>
      <c r="C21" s="462"/>
      <c r="D21" s="36">
        <v>0</v>
      </c>
      <c r="E21" s="374">
        <f>MAX(0,MIN(МДанные!AM21,МДанные!AN21,МДанные!AO21))+D21</f>
        <v>49</v>
      </c>
      <c r="F21" s="11">
        <f>МДанные!E21*МДанные!$D$77</f>
        <v>0.66499999999999992</v>
      </c>
      <c r="G21" s="11">
        <f>МДанные!F21*МДанные!$D$77</f>
        <v>0</v>
      </c>
      <c r="H21" s="12">
        <f>F21*D21+МДанные!J21*МДанные!U21</f>
        <v>0</v>
      </c>
      <c r="I21" s="11">
        <v>0</v>
      </c>
      <c r="J21" s="12">
        <f t="shared" si="1"/>
        <v>0</v>
      </c>
      <c r="K21" s="39">
        <v>0</v>
      </c>
      <c r="L21" s="18"/>
      <c r="M21" s="1"/>
      <c r="N21" s="1"/>
      <c r="O21" s="1"/>
      <c r="P21" s="1"/>
      <c r="Q21" s="1"/>
      <c r="R21" s="1"/>
      <c r="S21" s="1"/>
      <c r="T21" s="1"/>
      <c r="U21" s="1"/>
      <c r="V21" s="1"/>
      <c r="W21" s="44"/>
      <c r="X21" s="3"/>
      <c r="Y21" s="3"/>
      <c r="Z21" s="3"/>
    </row>
    <row r="22" spans="1:26" x14ac:dyDescent="0.25">
      <c r="A22" s="3"/>
      <c r="B22" s="463" t="s">
        <v>18</v>
      </c>
      <c r="C22" s="464"/>
      <c r="D22" s="36">
        <v>0</v>
      </c>
      <c r="E22" s="373">
        <f>MAX(0,MIN(МДанные!AM22,МДанные!AN22,МДанные!AO22))+D22</f>
        <v>49</v>
      </c>
      <c r="F22" s="8">
        <f>МДанные!E22*МДанные!$D$77</f>
        <v>0.66499999999999992</v>
      </c>
      <c r="G22" s="8">
        <f>МДанные!F22*МДанные!$D$77</f>
        <v>0</v>
      </c>
      <c r="H22" s="9">
        <f>F22*D22+МДанные!J22*МДанные!U22</f>
        <v>0</v>
      </c>
      <c r="I22" s="8">
        <v>0</v>
      </c>
      <c r="J22" s="9">
        <f t="shared" si="1"/>
        <v>0</v>
      </c>
      <c r="K22" s="40">
        <v>0</v>
      </c>
      <c r="L22" s="152"/>
      <c r="M22" s="1"/>
      <c r="N22" s="1"/>
      <c r="O22" s="1"/>
      <c r="P22" s="1"/>
      <c r="Q22" s="1"/>
      <c r="R22" s="1"/>
      <c r="S22" s="1"/>
      <c r="T22" s="1"/>
      <c r="U22" s="1"/>
      <c r="V22" s="1"/>
      <c r="W22" s="44"/>
      <c r="X22" s="3"/>
      <c r="Y22" s="3"/>
      <c r="Z22" s="3"/>
    </row>
    <row r="23" spans="1:26" ht="15.75" x14ac:dyDescent="0.25">
      <c r="A23" s="3"/>
      <c r="B23" s="472" t="s">
        <v>19</v>
      </c>
      <c r="C23" s="473"/>
      <c r="D23" s="473"/>
      <c r="E23" s="473"/>
      <c r="F23" s="473"/>
      <c r="G23" s="473"/>
      <c r="H23" s="473"/>
      <c r="I23" s="473"/>
      <c r="J23" s="26"/>
      <c r="K23" s="382"/>
      <c r="L23" s="19"/>
      <c r="M23" s="1"/>
      <c r="N23" s="1"/>
      <c r="O23" s="1"/>
      <c r="P23" s="1"/>
      <c r="Q23" s="1"/>
      <c r="R23" s="1"/>
      <c r="S23" s="1"/>
      <c r="T23" s="1"/>
      <c r="U23" s="1"/>
      <c r="V23" s="1"/>
      <c r="W23" s="44"/>
      <c r="X23" s="3"/>
      <c r="Y23" s="3"/>
      <c r="Z23" s="3"/>
    </row>
    <row r="24" spans="1:26" x14ac:dyDescent="0.25">
      <c r="A24" s="3"/>
      <c r="B24" s="461" t="s">
        <v>20</v>
      </c>
      <c r="C24" s="462"/>
      <c r="D24" s="36">
        <v>0</v>
      </c>
      <c r="E24" s="374">
        <f>MAX(0,MIN(МДанные!AM24,МДанные!AN24,МДанные!AO24))+D24</f>
        <v>159</v>
      </c>
      <c r="F24" s="11">
        <f>МДанные!E24*МДанные!$D$77</f>
        <v>0.627</v>
      </c>
      <c r="G24" s="11">
        <f>МДанные!F24*МДанные!$D$77</f>
        <v>1.71</v>
      </c>
      <c r="H24" s="12">
        <f t="shared" ref="H24:H29" si="2">D24*F24</f>
        <v>0</v>
      </c>
      <c r="I24" s="11">
        <f>IF(D24&gt;МДанные!$D$82-МДанные!S24,МДанные!$D$82-МДанные!S24,D24)</f>
        <v>0</v>
      </c>
      <c r="J24" s="12">
        <f t="shared" ref="J24:J35" si="3">I24*G24</f>
        <v>0</v>
      </c>
      <c r="K24" s="15" t="str">
        <f>МДанные!D135</f>
        <v>НЕТ</v>
      </c>
      <c r="L24" s="17"/>
      <c r="M24" s="1"/>
      <c r="N24" s="1"/>
      <c r="O24" s="1"/>
      <c r="P24" s="1"/>
      <c r="Q24" s="1"/>
      <c r="R24" s="1"/>
      <c r="S24" s="1"/>
      <c r="T24" s="1"/>
      <c r="U24" s="1"/>
      <c r="V24" s="1"/>
      <c r="W24" s="44"/>
      <c r="X24" s="3"/>
      <c r="Y24" s="3"/>
      <c r="Z24" s="3"/>
    </row>
    <row r="25" spans="1:26" x14ac:dyDescent="0.25">
      <c r="A25" s="3"/>
      <c r="B25" s="463" t="s">
        <v>21</v>
      </c>
      <c r="C25" s="464"/>
      <c r="D25" s="36">
        <v>0</v>
      </c>
      <c r="E25" s="373">
        <f>MAX(0,MIN(МДанные!AM25,МДанные!AN25,МДанные!AO25))+D25</f>
        <v>0</v>
      </c>
      <c r="F25" s="8">
        <f>(МДанные!E25+МДанные!J25)*МДанные!$D$77</f>
        <v>0.67449999999999999</v>
      </c>
      <c r="G25" s="8">
        <f>МДанные!F25*МДанные!$D$77</f>
        <v>1.71</v>
      </c>
      <c r="H25" s="9">
        <f t="shared" si="2"/>
        <v>0</v>
      </c>
      <c r="I25" s="8">
        <f>IF(D25&gt;МДанные!$D$82-МДанные!S25,МДанные!$D$82-МДанные!S25,D25)</f>
        <v>0</v>
      </c>
      <c r="J25" s="9">
        <f t="shared" si="3"/>
        <v>0</v>
      </c>
      <c r="K25" s="14">
        <f>D25</f>
        <v>0</v>
      </c>
      <c r="L25" s="18"/>
      <c r="M25" s="1"/>
      <c r="N25" s="1"/>
      <c r="O25" s="1"/>
      <c r="P25" s="1"/>
      <c r="Q25" s="1"/>
      <c r="R25" s="1"/>
      <c r="S25" s="1"/>
      <c r="T25" s="1"/>
      <c r="U25" s="1"/>
      <c r="V25" s="1"/>
      <c r="W25" s="44"/>
      <c r="X25" s="3"/>
      <c r="Y25" s="3"/>
      <c r="Z25" s="3"/>
    </row>
    <row r="26" spans="1:26" x14ac:dyDescent="0.25">
      <c r="A26" s="3"/>
      <c r="B26" s="461" t="s">
        <v>22</v>
      </c>
      <c r="C26" s="462"/>
      <c r="D26" s="36">
        <v>0</v>
      </c>
      <c r="E26" s="374">
        <f>MAX(0,MIN(МДанные!AM26,МДанные!AN26,МДанные!AO26))+D26</f>
        <v>159</v>
      </c>
      <c r="F26" s="11">
        <f>МДанные!E26*МДанные!$D$77</f>
        <v>0.627</v>
      </c>
      <c r="G26" s="11">
        <f>МДанные!F26*МДанные!$D$77</f>
        <v>1.71</v>
      </c>
      <c r="H26" s="12">
        <f t="shared" si="2"/>
        <v>0</v>
      </c>
      <c r="I26" s="11">
        <f>IF(D26&gt;МДанные!$D$82-МДанные!S26,МДанные!$D$82-МДанные!S26,D26)</f>
        <v>0</v>
      </c>
      <c r="J26" s="12">
        <f t="shared" si="3"/>
        <v>0</v>
      </c>
      <c r="K26" s="15" t="str">
        <f>МДанные!D135</f>
        <v>НЕТ</v>
      </c>
      <c r="L26" s="18"/>
      <c r="M26" s="1"/>
      <c r="N26" s="1"/>
      <c r="O26" s="1"/>
      <c r="P26" s="1"/>
      <c r="Q26" s="1"/>
      <c r="R26" s="1"/>
      <c r="S26" s="1"/>
      <c r="T26" s="1"/>
      <c r="U26" s="1"/>
      <c r="V26" s="1"/>
      <c r="W26" s="44"/>
      <c r="X26" s="3"/>
      <c r="Y26" s="3"/>
      <c r="Z26" s="3"/>
    </row>
    <row r="27" spans="1:26" x14ac:dyDescent="0.25">
      <c r="A27" s="3"/>
      <c r="B27" s="463" t="s">
        <v>23</v>
      </c>
      <c r="C27" s="464"/>
      <c r="D27" s="36">
        <v>0</v>
      </c>
      <c r="E27" s="373">
        <f>MAX(0,MIN(МДанные!AM27,МДанные!AN27,МДанные!AO27))+D27</f>
        <v>0</v>
      </c>
      <c r="F27" s="8">
        <f>(МДанные!E27+МДанные!J27)*МДанные!$D$77</f>
        <v>0.67449999999999999</v>
      </c>
      <c r="G27" s="8">
        <f>МДанные!F27*МДанные!$D$77</f>
        <v>1.71</v>
      </c>
      <c r="H27" s="9">
        <f t="shared" si="2"/>
        <v>0</v>
      </c>
      <c r="I27" s="8">
        <f>IF(D27&gt;МДанные!$D$82-МДанные!S27,МДанные!$D$82-МДанные!S27,D27)</f>
        <v>0</v>
      </c>
      <c r="J27" s="9">
        <f t="shared" si="3"/>
        <v>0</v>
      </c>
      <c r="K27" s="14">
        <f>D27</f>
        <v>0</v>
      </c>
      <c r="L27" s="18"/>
      <c r="M27" s="1"/>
      <c r="N27" s="1"/>
      <c r="O27" s="1"/>
      <c r="P27" s="1"/>
      <c r="Q27" s="1"/>
      <c r="R27" s="1"/>
      <c r="S27" s="1"/>
      <c r="T27" s="1"/>
      <c r="U27" s="1"/>
      <c r="V27" s="1"/>
      <c r="W27" s="44"/>
      <c r="X27" s="3"/>
      <c r="Y27" s="3"/>
      <c r="Z27" s="3"/>
    </row>
    <row r="28" spans="1:26" x14ac:dyDescent="0.25">
      <c r="A28" s="3"/>
      <c r="B28" s="461" t="s">
        <v>24</v>
      </c>
      <c r="C28" s="462"/>
      <c r="D28" s="37">
        <v>0</v>
      </c>
      <c r="E28" s="374">
        <f>MAX(0,MIN(МДанные!AM28,МДанные!AN28,МДанные!AO28))+D28</f>
        <v>159</v>
      </c>
      <c r="F28" s="11">
        <f>МДанные!E28*МДанные!$D$77</f>
        <v>0.627</v>
      </c>
      <c r="G28" s="11">
        <f>МДанные!F28*МДанные!$D$77</f>
        <v>1.71</v>
      </c>
      <c r="H28" s="12">
        <f t="shared" si="2"/>
        <v>0</v>
      </c>
      <c r="I28" s="11">
        <f>IF(D28&gt;МДанные!$D$82-МДанные!S28,МДанные!$D$82-МДанные!S28,D28)</f>
        <v>0</v>
      </c>
      <c r="J28" s="12">
        <f t="shared" si="3"/>
        <v>0</v>
      </c>
      <c r="K28" s="15" t="str">
        <f>МДанные!D135</f>
        <v>НЕТ</v>
      </c>
      <c r="L28" s="18"/>
      <c r="M28" s="1"/>
      <c r="N28" s="1"/>
      <c r="O28" s="1"/>
      <c r="P28" s="1"/>
      <c r="Q28" s="1"/>
      <c r="R28" s="1"/>
      <c r="S28" s="1"/>
      <c r="T28" s="1"/>
      <c r="U28" s="1"/>
      <c r="V28" s="1"/>
      <c r="W28" s="44"/>
      <c r="X28" s="3"/>
      <c r="Y28" s="3"/>
      <c r="Z28" s="3"/>
    </row>
    <row r="29" spans="1:26" x14ac:dyDescent="0.25">
      <c r="A29" s="3"/>
      <c r="B29" s="463" t="s">
        <v>25</v>
      </c>
      <c r="C29" s="464"/>
      <c r="D29" s="36">
        <v>0</v>
      </c>
      <c r="E29" s="373">
        <f>MAX(0,MIN(МДанные!AM29,МДанные!AN29,МДанные!AO29))+D29</f>
        <v>0</v>
      </c>
      <c r="F29" s="8">
        <f>(МДанные!E29+МДанные!J29)*МДанные!$D$77</f>
        <v>0.67449999999999999</v>
      </c>
      <c r="G29" s="8">
        <f>МДанные!F29*МДанные!$D$77</f>
        <v>1.71</v>
      </c>
      <c r="H29" s="9">
        <f t="shared" si="2"/>
        <v>0</v>
      </c>
      <c r="I29" s="8">
        <f>IF(D29&gt;МДанные!$D$82-МДанные!S29,МДанные!$D$82-МДанные!S29,D29)</f>
        <v>0</v>
      </c>
      <c r="J29" s="9">
        <f t="shared" si="3"/>
        <v>0</v>
      </c>
      <c r="K29" s="14">
        <f>D29</f>
        <v>0</v>
      </c>
      <c r="L29" s="18"/>
      <c r="M29" s="1"/>
      <c r="N29" s="1"/>
      <c r="O29" s="1"/>
      <c r="P29" s="1"/>
      <c r="Q29" s="1"/>
      <c r="R29" s="1"/>
      <c r="S29" s="1"/>
      <c r="T29" s="1"/>
      <c r="U29" s="1"/>
      <c r="V29" s="1"/>
      <c r="W29" s="44"/>
      <c r="X29" s="3"/>
      <c r="Y29" s="3"/>
      <c r="Z29" s="3"/>
    </row>
    <row r="30" spans="1:26" x14ac:dyDescent="0.25">
      <c r="A30" s="3"/>
      <c r="B30" s="461" t="s">
        <v>26</v>
      </c>
      <c r="C30" s="462"/>
      <c r="D30" s="36">
        <v>0</v>
      </c>
      <c r="E30" s="374">
        <f>MAX(0,MIN(МДанные!AM30,МДанные!AN30,МДанные!AO30))+D30</f>
        <v>159</v>
      </c>
      <c r="F30" s="11">
        <f>МДанные!E30*МДанные!$D$77</f>
        <v>0.43224999999999997</v>
      </c>
      <c r="G30" s="11">
        <f>МДанные!F30*МДанные!$D$77</f>
        <v>1.9</v>
      </c>
      <c r="H30" s="12">
        <f>F30*D30+МДанные!J30*МДанные!U30</f>
        <v>0</v>
      </c>
      <c r="I30" s="11">
        <f>IF(D30&gt;МДанные!$D$82-МДанные!S30,МДанные!$D$82-МДанные!S30,D30)</f>
        <v>0</v>
      </c>
      <c r="J30" s="12">
        <f t="shared" si="3"/>
        <v>0</v>
      </c>
      <c r="K30" s="39">
        <v>0</v>
      </c>
      <c r="L30" s="161">
        <f>ШДанные!C23</f>
        <v>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44"/>
      <c r="X30" s="3"/>
      <c r="Y30" s="3"/>
      <c r="Z30" s="3"/>
    </row>
    <row r="31" spans="1:26" x14ac:dyDescent="0.25">
      <c r="A31" s="3"/>
      <c r="B31" s="463" t="s">
        <v>27</v>
      </c>
      <c r="C31" s="464"/>
      <c r="D31" s="36">
        <v>0</v>
      </c>
      <c r="E31" s="373">
        <f>MAX(0,MIN(МДанные!AM31,МДанные!AN31,МДанные!AO31))+D31</f>
        <v>159</v>
      </c>
      <c r="F31" s="8">
        <f>МДанные!E31*МДанные!$D$77</f>
        <v>0.48449999999999999</v>
      </c>
      <c r="G31" s="8">
        <f>МДанные!F31*МДанные!$D$77</f>
        <v>1.9</v>
      </c>
      <c r="H31" s="9">
        <f>F31*D31+МДанные!J31*МДанные!U31</f>
        <v>0</v>
      </c>
      <c r="I31" s="8">
        <f>IF(D31&gt;МДанные!$D$82-МДанные!S31,МДанные!$D$82-МДанные!S31,D31)</f>
        <v>0</v>
      </c>
      <c r="J31" s="9">
        <f t="shared" si="3"/>
        <v>0</v>
      </c>
      <c r="K31" s="39">
        <v>0</v>
      </c>
      <c r="L31" s="163">
        <f>ШДанные!D23</f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44"/>
      <c r="X31" s="3"/>
      <c r="Y31" s="3"/>
      <c r="Z31" s="3"/>
    </row>
    <row r="32" spans="1:26" x14ac:dyDescent="0.25">
      <c r="A32" s="3"/>
      <c r="B32" s="461" t="s">
        <v>28</v>
      </c>
      <c r="C32" s="462"/>
      <c r="D32" s="36">
        <v>0</v>
      </c>
      <c r="E32" s="374">
        <f>MAX(0,MIN(МДанные!AM32,МДанные!AN32,МДанные!AO32))+D32</f>
        <v>159</v>
      </c>
      <c r="F32" s="11">
        <f>МДанные!E32*МДанные!$D$77</f>
        <v>0.48449999999999999</v>
      </c>
      <c r="G32" s="11">
        <f>МДанные!F32*МДанные!$D$77</f>
        <v>1.9</v>
      </c>
      <c r="H32" s="12">
        <f>F32*D32+МДанные!J32*МДанные!U32</f>
        <v>0</v>
      </c>
      <c r="I32" s="11">
        <f>IF(D32&gt;МДанные!$D$82-МДанные!S32,МДанные!$D$82-МДанные!S32,D32)</f>
        <v>0</v>
      </c>
      <c r="J32" s="12">
        <f t="shared" si="3"/>
        <v>0</v>
      </c>
      <c r="K32" s="39">
        <v>0</v>
      </c>
      <c r="L32" s="161">
        <f>ШДанные!E23</f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44"/>
      <c r="X32" s="3"/>
      <c r="Y32" s="3"/>
      <c r="Z32" s="3"/>
    </row>
    <row r="33" spans="1:26" x14ac:dyDescent="0.25">
      <c r="A33" s="3"/>
      <c r="B33" s="463" t="s">
        <v>29</v>
      </c>
      <c r="C33" s="464"/>
      <c r="D33" s="36">
        <v>0</v>
      </c>
      <c r="E33" s="373">
        <f>MAX(0,MIN(МДанные!AM33,МДанные!AN33,МДанные!AO33))+D33</f>
        <v>79</v>
      </c>
      <c r="F33" s="8">
        <f>МДанные!E33*МДанные!$D$77</f>
        <v>0.56999999999999995</v>
      </c>
      <c r="G33" s="8">
        <f>МДанные!F33*МДанные!$D$77</f>
        <v>1.9</v>
      </c>
      <c r="H33" s="9">
        <f>F33*D33+МДанные!J33*МДанные!U33</f>
        <v>0</v>
      </c>
      <c r="I33" s="8">
        <f>IF(D33*2&gt;МДанные!$D$82-МДанные!S33,МДанные!$D$82-МДанные!S33,D33*2)</f>
        <v>0</v>
      </c>
      <c r="J33" s="9">
        <f t="shared" si="3"/>
        <v>0</v>
      </c>
      <c r="K33" s="39">
        <v>0</v>
      </c>
      <c r="L33" s="163">
        <f>ШДанные!F23</f>
        <v>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44"/>
      <c r="X33" s="3"/>
      <c r="Y33" s="3"/>
      <c r="Z33" s="3"/>
    </row>
    <row r="34" spans="1:26" x14ac:dyDescent="0.25">
      <c r="A34" s="3"/>
      <c r="B34" s="461" t="s">
        <v>30</v>
      </c>
      <c r="C34" s="462"/>
      <c r="D34" s="36">
        <v>0</v>
      </c>
      <c r="E34" s="374">
        <f>MAX(0,MIN(МДанные!AM34,МДанные!AN34,МДанные!AO34))+D34</f>
        <v>53</v>
      </c>
      <c r="F34" s="11">
        <f>МДанные!E34*МДанные!$D$77</f>
        <v>0.627</v>
      </c>
      <c r="G34" s="11">
        <f>МДанные!F34*МДанные!$D$77</f>
        <v>1.9</v>
      </c>
      <c r="H34" s="12">
        <f>F34*D34+МДанные!J34*МДанные!U34</f>
        <v>0</v>
      </c>
      <c r="I34" s="11">
        <f>IF(D34*3&gt;МДанные!$D$82-МДанные!S34,МДанные!$D$82-МДанные!S34,D34*3)</f>
        <v>0</v>
      </c>
      <c r="J34" s="12">
        <f t="shared" si="3"/>
        <v>0</v>
      </c>
      <c r="K34" s="40">
        <v>0</v>
      </c>
      <c r="L34" s="161">
        <f>ШДанные!G23</f>
        <v>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44"/>
      <c r="X34" s="3"/>
      <c r="Y34" s="3"/>
      <c r="Z34" s="3"/>
    </row>
    <row r="35" spans="1:26" x14ac:dyDescent="0.25">
      <c r="A35" s="3"/>
      <c r="B35" s="463" t="s">
        <v>628</v>
      </c>
      <c r="C35" s="464"/>
      <c r="D35" s="36">
        <v>0</v>
      </c>
      <c r="E35" s="373">
        <f>MAX(0,MIN(МДанные!AM35,МДанные!AN35,МДанные!AO35))+D35</f>
        <v>159</v>
      </c>
      <c r="F35" s="8">
        <f>МДанные!E35*МДанные!$D$77</f>
        <v>0.47499999999999998</v>
      </c>
      <c r="G35" s="8">
        <f>МДанные!F35*МДанные!$D$77</f>
        <v>1.9</v>
      </c>
      <c r="H35" s="9">
        <f>F35*D35+МДанные!J35*МДанные!U35</f>
        <v>0</v>
      </c>
      <c r="I35" s="8">
        <f>IF(D35&gt;МДанные!$D$82-МДанные!S35,МДанные!$D$82-МДанные!S35,D35)</f>
        <v>0</v>
      </c>
      <c r="J35" s="9">
        <f t="shared" si="3"/>
        <v>0</v>
      </c>
      <c r="K35" s="39">
        <v>0</v>
      </c>
      <c r="L35" s="163">
        <f>ШДанные!H23</f>
        <v>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44"/>
      <c r="X35" s="3"/>
      <c r="Y35" s="3"/>
      <c r="Z35" s="3"/>
    </row>
    <row r="36" spans="1:26" x14ac:dyDescent="0.25">
      <c r="A36" s="3"/>
      <c r="B36" s="463" t="s">
        <v>629</v>
      </c>
      <c r="C36" s="464"/>
      <c r="D36" s="36">
        <v>0</v>
      </c>
      <c r="E36" s="373">
        <f>MAX(0,MIN(МДанные!AM36,МДанные!AN36,МДанные!AO36))+D36</f>
        <v>6</v>
      </c>
      <c r="F36" s="8">
        <f>МДанные!$D$77*(МДанные!E36+МДанные!D$87)</f>
        <v>8.0749999999999993</v>
      </c>
      <c r="G36" s="8">
        <f>МДанные!$D$77*(МДанные!F36+МДанные!E$87)</f>
        <v>25.65</v>
      </c>
      <c r="H36" s="9">
        <f>F36*D36+МДанные!J36*МДанные!U36</f>
        <v>0</v>
      </c>
      <c r="I36" s="8">
        <f>IF(D36&gt;МДанные!$D$82-МДанные!S36,МДанные!$D$82-МДанные!S36,D36)</f>
        <v>0</v>
      </c>
      <c r="J36" s="9">
        <f>МДанные!$D$77*(I36*МДанные!F36+МДанные!E$87*D36)</f>
        <v>0</v>
      </c>
      <c r="K36" s="38">
        <v>0</v>
      </c>
      <c r="L36" s="186"/>
      <c r="M36" s="1"/>
      <c r="N36" s="1"/>
      <c r="O36" s="1"/>
      <c r="P36" s="1"/>
      <c r="Q36" s="1"/>
      <c r="R36" s="1"/>
      <c r="S36" s="1"/>
      <c r="T36" s="1"/>
      <c r="U36" s="1"/>
      <c r="V36" s="1"/>
      <c r="W36" s="44"/>
      <c r="X36" s="3"/>
      <c r="Y36" s="3"/>
      <c r="Z36" s="3"/>
    </row>
    <row r="37" spans="1:26" x14ac:dyDescent="0.25">
      <c r="A37" s="3"/>
      <c r="B37" s="461" t="s">
        <v>375</v>
      </c>
      <c r="C37" s="462"/>
      <c r="D37" s="36">
        <v>0</v>
      </c>
      <c r="E37" s="374">
        <f>MAX(0,MIN(МДанные!AM37,МДанные!AN37,МДанные!AO37))+D37</f>
        <v>31</v>
      </c>
      <c r="F37" s="11">
        <f>(МДанные!E37+МДанные!D90)*МДанные!$D$77</f>
        <v>2.2800000000000002</v>
      </c>
      <c r="G37" s="11">
        <f>МДанные!F37*МДанные!$D$77</f>
        <v>0</v>
      </c>
      <c r="H37" s="12">
        <f>F37*D37+МДанные!J37*МДанные!U37</f>
        <v>0</v>
      </c>
      <c r="I37" s="11">
        <v>0</v>
      </c>
      <c r="J37" s="12">
        <f>I37*G37</f>
        <v>0</v>
      </c>
      <c r="K37" s="15" t="str">
        <f>МДанные!D135</f>
        <v>НЕТ</v>
      </c>
      <c r="L37" s="152"/>
      <c r="M37" s="1"/>
      <c r="N37" s="1"/>
      <c r="O37" s="1"/>
      <c r="P37" s="1"/>
      <c r="Q37" s="1"/>
      <c r="R37" s="1"/>
      <c r="S37" s="1"/>
      <c r="T37" s="1"/>
      <c r="U37" s="1"/>
      <c r="V37" s="1"/>
      <c r="W37" s="44"/>
      <c r="X37" s="3"/>
      <c r="Y37" s="3"/>
      <c r="Z37" s="3"/>
    </row>
    <row r="38" spans="1:26" ht="15.75" x14ac:dyDescent="0.25">
      <c r="A38" s="3"/>
      <c r="B38" s="466" t="s">
        <v>31</v>
      </c>
      <c r="C38" s="467"/>
      <c r="D38" s="467"/>
      <c r="E38" s="467"/>
      <c r="F38" s="467"/>
      <c r="G38" s="467"/>
      <c r="H38" s="467"/>
      <c r="I38" s="467"/>
      <c r="J38" s="16"/>
      <c r="K38" s="383"/>
      <c r="L38" s="19"/>
      <c r="M38" s="1"/>
      <c r="N38" s="1"/>
      <c r="O38" s="1"/>
      <c r="P38" s="1"/>
      <c r="Q38" s="1"/>
      <c r="R38" s="1"/>
      <c r="S38" s="1"/>
      <c r="T38" s="1"/>
      <c r="U38" s="1"/>
      <c r="V38" s="1"/>
      <c r="W38" s="44"/>
      <c r="X38" s="3"/>
      <c r="Y38" s="3"/>
      <c r="Z38" s="3"/>
    </row>
    <row r="39" spans="1:26" x14ac:dyDescent="0.25">
      <c r="A39" s="3"/>
      <c r="B39" s="485" t="s">
        <v>428</v>
      </c>
      <c r="C39" s="486"/>
      <c r="D39" s="36">
        <v>0</v>
      </c>
      <c r="E39" s="373">
        <f>MAX(0,MIN(МДанные!AM39,МДанные!AN39,МДанные!AO39))+D39</f>
        <v>82</v>
      </c>
      <c r="F39" s="8">
        <f>МДанные!E39*МДанные!$D$77</f>
        <v>0.30399999999999999</v>
      </c>
      <c r="G39" s="8">
        <f>МДанные!I39*МДанные!$D$77</f>
        <v>2.375</v>
      </c>
      <c r="H39" s="9">
        <f t="shared" ref="H39:H55" si="4">D39*F39</f>
        <v>0</v>
      </c>
      <c r="I39" s="8">
        <f t="shared" ref="I39:I55" si="5">D39</f>
        <v>0</v>
      </c>
      <c r="J39" s="9">
        <f>I39*G39</f>
        <v>0</v>
      </c>
      <c r="K39" s="10" t="str">
        <f>МДанные!$D$135</f>
        <v>НЕТ</v>
      </c>
      <c r="L39" s="41" t="s">
        <v>131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44"/>
      <c r="X39" s="3"/>
      <c r="Y39" s="3"/>
      <c r="Z39" s="3"/>
    </row>
    <row r="40" spans="1:26" x14ac:dyDescent="0.25">
      <c r="A40" s="3"/>
      <c r="B40" s="485" t="s">
        <v>429</v>
      </c>
      <c r="C40" s="486"/>
      <c r="D40" s="36">
        <v>0</v>
      </c>
      <c r="E40" s="373">
        <f>MAX(0,MIN(МДанные!AM40,МДанные!AN40,МДанные!AO40))+D40</f>
        <v>36</v>
      </c>
      <c r="F40" s="8">
        <f>МДанные!E40*МДанные!$D$77</f>
        <v>0.30399999999999999</v>
      </c>
      <c r="G40" s="8">
        <f>МДанные!I40*МДанные!$D$77</f>
        <v>5.6999999999999993</v>
      </c>
      <c r="H40" s="9">
        <f t="shared" si="4"/>
        <v>0</v>
      </c>
      <c r="I40" s="8">
        <f t="shared" si="5"/>
        <v>0</v>
      </c>
      <c r="J40" s="9">
        <f t="shared" ref="J40:J54" si="6">I40*G40</f>
        <v>0</v>
      </c>
      <c r="K40" s="10" t="str">
        <f>МДанные!$D$135</f>
        <v>НЕТ</v>
      </c>
      <c r="L40" s="41" t="s">
        <v>99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44"/>
      <c r="X40" s="3"/>
      <c r="Y40" s="3"/>
      <c r="Z40" s="3"/>
    </row>
    <row r="41" spans="1:26" x14ac:dyDescent="0.25">
      <c r="A41" s="3"/>
      <c r="B41" s="461" t="s">
        <v>430</v>
      </c>
      <c r="C41" s="462"/>
      <c r="D41" s="36">
        <v>0</v>
      </c>
      <c r="E41" s="374">
        <f>MAX(0,MIN(МДанные!AM41,МДанные!AN41,МДанные!AO41))+D41</f>
        <v>0</v>
      </c>
      <c r="F41" s="11">
        <f>(МДанные!E41+МДанные!J41)*МДанные!$D$77</f>
        <v>0.48449999999999999</v>
      </c>
      <c r="G41" s="11">
        <f>МДанные!I41*МДанные!$D$77</f>
        <v>2.375</v>
      </c>
      <c r="H41" s="12">
        <f t="shared" si="4"/>
        <v>0</v>
      </c>
      <c r="I41" s="11">
        <f t="shared" si="5"/>
        <v>0</v>
      </c>
      <c r="J41" s="12">
        <f t="shared" si="6"/>
        <v>0</v>
      </c>
      <c r="K41" s="13">
        <f>D41</f>
        <v>0</v>
      </c>
      <c r="L41" s="41" t="s">
        <v>131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44"/>
      <c r="X41" s="3"/>
      <c r="Y41" s="3"/>
      <c r="Z41" s="3"/>
    </row>
    <row r="42" spans="1:26" x14ac:dyDescent="0.25">
      <c r="A42" s="3"/>
      <c r="B42" s="461" t="s">
        <v>431</v>
      </c>
      <c r="C42" s="462"/>
      <c r="D42" s="36">
        <v>0</v>
      </c>
      <c r="E42" s="374">
        <f>MAX(0,MIN(МДанные!AM42,МДанные!AN42,МДанные!AO42))+D42</f>
        <v>0</v>
      </c>
      <c r="F42" s="11">
        <f>(МДанные!E42+МДанные!J42)*МДанные!$D$77</f>
        <v>0.48449999999999999</v>
      </c>
      <c r="G42" s="11">
        <f>МДанные!I42*МДанные!$D$77</f>
        <v>5.6999999999999993</v>
      </c>
      <c r="H42" s="12">
        <f t="shared" si="4"/>
        <v>0</v>
      </c>
      <c r="I42" s="11">
        <f t="shared" si="5"/>
        <v>0</v>
      </c>
      <c r="J42" s="12">
        <f t="shared" si="6"/>
        <v>0</v>
      </c>
      <c r="K42" s="13">
        <f>D42</f>
        <v>0</v>
      </c>
      <c r="L42" s="41" t="s">
        <v>99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44"/>
      <c r="X42" s="3"/>
      <c r="Y42" s="3"/>
      <c r="Z42" s="3"/>
    </row>
    <row r="43" spans="1:26" x14ac:dyDescent="0.25">
      <c r="A43" s="3"/>
      <c r="B43" s="463" t="s">
        <v>432</v>
      </c>
      <c r="C43" s="464"/>
      <c r="D43" s="36">
        <v>0</v>
      </c>
      <c r="E43" s="373">
        <f>MAX(0,MIN(МДанные!AM43,МДанные!AN43,МДанные!AO43))+D43</f>
        <v>82</v>
      </c>
      <c r="F43" s="8">
        <f>МДанные!E43*МДанные!$D$77</f>
        <v>0.30399999999999999</v>
      </c>
      <c r="G43" s="8">
        <f>МДанные!I43*МДанные!$D$77</f>
        <v>2.375</v>
      </c>
      <c r="H43" s="9">
        <f t="shared" si="4"/>
        <v>0</v>
      </c>
      <c r="I43" s="8">
        <f t="shared" si="5"/>
        <v>0</v>
      </c>
      <c r="J43" s="9">
        <f t="shared" si="6"/>
        <v>0</v>
      </c>
      <c r="K43" s="10" t="str">
        <f>МДанные!$D$135</f>
        <v>НЕТ</v>
      </c>
      <c r="L43" s="41" t="s">
        <v>131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44"/>
      <c r="X43" s="3"/>
      <c r="Y43" s="3"/>
      <c r="Z43" s="3"/>
    </row>
    <row r="44" spans="1:26" x14ac:dyDescent="0.25">
      <c r="A44" s="3"/>
      <c r="B44" s="463" t="s">
        <v>433</v>
      </c>
      <c r="C44" s="464"/>
      <c r="D44" s="36">
        <v>0</v>
      </c>
      <c r="E44" s="373">
        <f>MAX(0,MIN(МДанные!AM44,МДанные!AN44,МДанные!AO44))+D44</f>
        <v>36</v>
      </c>
      <c r="F44" s="8">
        <f>МДанные!E44*МДанные!$D$77</f>
        <v>0.30399999999999999</v>
      </c>
      <c r="G44" s="8">
        <f>МДанные!I44*МДанные!$D$77</f>
        <v>5.6999999999999993</v>
      </c>
      <c r="H44" s="9">
        <f t="shared" si="4"/>
        <v>0</v>
      </c>
      <c r="I44" s="8">
        <f t="shared" si="5"/>
        <v>0</v>
      </c>
      <c r="J44" s="9">
        <f t="shared" si="6"/>
        <v>0</v>
      </c>
      <c r="K44" s="10" t="str">
        <f>МДанные!$D$135</f>
        <v>НЕТ</v>
      </c>
      <c r="L44" s="41" t="s">
        <v>99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44"/>
      <c r="X44" s="3"/>
      <c r="Y44" s="3"/>
      <c r="Z44" s="3"/>
    </row>
    <row r="45" spans="1:26" x14ac:dyDescent="0.25">
      <c r="A45" s="3"/>
      <c r="B45" s="461" t="s">
        <v>434</v>
      </c>
      <c r="C45" s="462"/>
      <c r="D45" s="36">
        <v>0</v>
      </c>
      <c r="E45" s="374">
        <f>MAX(0,MIN(МДанные!AM45,МДанные!AN45,МДанные!AO45))+D45</f>
        <v>0</v>
      </c>
      <c r="F45" s="11">
        <f>(МДанные!E45+МДанные!J45)*МДанные!$D$77</f>
        <v>0.48449999999999999</v>
      </c>
      <c r="G45" s="11">
        <f>МДанные!I45*МДанные!$D$77</f>
        <v>2.375</v>
      </c>
      <c r="H45" s="12">
        <f t="shared" si="4"/>
        <v>0</v>
      </c>
      <c r="I45" s="11">
        <f t="shared" si="5"/>
        <v>0</v>
      </c>
      <c r="J45" s="12">
        <f t="shared" si="6"/>
        <v>0</v>
      </c>
      <c r="K45" s="13">
        <f>D45</f>
        <v>0</v>
      </c>
      <c r="L45" s="41" t="s">
        <v>131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44"/>
      <c r="X45" s="3"/>
      <c r="Y45" s="3"/>
      <c r="Z45" s="3"/>
    </row>
    <row r="46" spans="1:26" x14ac:dyDescent="0.25">
      <c r="A46" s="3"/>
      <c r="B46" s="461" t="s">
        <v>435</v>
      </c>
      <c r="C46" s="462"/>
      <c r="D46" s="36">
        <v>0</v>
      </c>
      <c r="E46" s="374">
        <f>MAX(0,MIN(МДанные!AM46,МДанные!AN46,МДанные!AO46))+D46</f>
        <v>0</v>
      </c>
      <c r="F46" s="11">
        <f>(МДанные!E46+МДанные!J46)*МДанные!$D$77</f>
        <v>0.48449999999999999</v>
      </c>
      <c r="G46" s="11">
        <f>МДанные!I46*МДанные!$D$77</f>
        <v>5.6999999999999993</v>
      </c>
      <c r="H46" s="12">
        <f t="shared" si="4"/>
        <v>0</v>
      </c>
      <c r="I46" s="11">
        <f t="shared" si="5"/>
        <v>0</v>
      </c>
      <c r="J46" s="12">
        <f t="shared" si="6"/>
        <v>0</v>
      </c>
      <c r="K46" s="13">
        <f>D46</f>
        <v>0</v>
      </c>
      <c r="L46" s="41" t="s">
        <v>99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44"/>
      <c r="X46" s="3"/>
      <c r="Y46" s="3"/>
      <c r="Z46" s="3"/>
    </row>
    <row r="47" spans="1:26" x14ac:dyDescent="0.25">
      <c r="A47" s="3"/>
      <c r="B47" s="463" t="s">
        <v>436</v>
      </c>
      <c r="C47" s="464"/>
      <c r="D47" s="36">
        <v>0</v>
      </c>
      <c r="E47" s="373">
        <f>MAX(0,MIN(МДанные!AM47,МДанные!AN47,МДанные!AO47))+D47</f>
        <v>38</v>
      </c>
      <c r="F47" s="8">
        <f>МДанные!E47*МДанные!$D$77</f>
        <v>0.30399999999999999</v>
      </c>
      <c r="G47" s="8">
        <f>МДанные!I47*МДанные!$D$77</f>
        <v>5.51</v>
      </c>
      <c r="H47" s="9">
        <f t="shared" si="4"/>
        <v>0</v>
      </c>
      <c r="I47" s="8">
        <f t="shared" si="5"/>
        <v>0</v>
      </c>
      <c r="J47" s="9">
        <f t="shared" si="6"/>
        <v>0</v>
      </c>
      <c r="K47" s="10" t="str">
        <f>МДанные!$D$135</f>
        <v>НЕТ</v>
      </c>
      <c r="L47" s="41" t="s">
        <v>131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44"/>
      <c r="X47" s="3"/>
      <c r="Y47" s="3"/>
      <c r="Z47" s="3"/>
    </row>
    <row r="48" spans="1:26" x14ac:dyDescent="0.25">
      <c r="A48" s="3"/>
      <c r="B48" s="463" t="s">
        <v>437</v>
      </c>
      <c r="C48" s="464"/>
      <c r="D48" s="36">
        <v>0</v>
      </c>
      <c r="E48" s="373">
        <f>MAX(0,MIN(МДанные!AM48,МДанные!AN48,МДанные!AO48))+D48</f>
        <v>24</v>
      </c>
      <c r="F48" s="8">
        <f>МДанные!E48*МДанные!$D$77</f>
        <v>0.30399999999999999</v>
      </c>
      <c r="G48" s="8">
        <f>МДанные!I48*МДанные!$D$77</f>
        <v>8.8350000000000009</v>
      </c>
      <c r="H48" s="9">
        <f t="shared" si="4"/>
        <v>0</v>
      </c>
      <c r="I48" s="8">
        <f t="shared" si="5"/>
        <v>0</v>
      </c>
      <c r="J48" s="9">
        <f t="shared" si="6"/>
        <v>0</v>
      </c>
      <c r="K48" s="10" t="str">
        <f>МДанные!$D$135</f>
        <v>НЕТ</v>
      </c>
      <c r="L48" s="41" t="s">
        <v>99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44"/>
      <c r="X48" s="3"/>
      <c r="Y48" s="3"/>
      <c r="Z48" s="3"/>
    </row>
    <row r="49" spans="1:26" x14ac:dyDescent="0.25">
      <c r="A49" s="3"/>
      <c r="B49" s="461" t="s">
        <v>438</v>
      </c>
      <c r="C49" s="462"/>
      <c r="D49" s="36">
        <v>0</v>
      </c>
      <c r="E49" s="374">
        <f>MAX(0,MIN(МДанные!AM49,МДанные!AN49,МДанные!AO49))+D49</f>
        <v>0</v>
      </c>
      <c r="F49" s="11">
        <f>(МДанные!E49+МДанные!J49)*МДанные!$D$77</f>
        <v>0.48449999999999999</v>
      </c>
      <c r="G49" s="11">
        <f>МДанные!I49*МДанные!$D$77</f>
        <v>5.51</v>
      </c>
      <c r="H49" s="12">
        <f t="shared" si="4"/>
        <v>0</v>
      </c>
      <c r="I49" s="11">
        <f t="shared" si="5"/>
        <v>0</v>
      </c>
      <c r="J49" s="12">
        <f t="shared" si="6"/>
        <v>0</v>
      </c>
      <c r="K49" s="13">
        <f>D49</f>
        <v>0</v>
      </c>
      <c r="L49" s="41" t="s">
        <v>131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44"/>
      <c r="X49" s="3"/>
      <c r="Y49" s="3"/>
      <c r="Z49" s="3"/>
    </row>
    <row r="50" spans="1:26" x14ac:dyDescent="0.25">
      <c r="A50" s="3"/>
      <c r="B50" s="461" t="s">
        <v>439</v>
      </c>
      <c r="C50" s="462"/>
      <c r="D50" s="36">
        <v>0</v>
      </c>
      <c r="E50" s="374">
        <f>MAX(0,MIN(МДанные!AM50,МДанные!AN50,МДанные!AO50))+D50</f>
        <v>0</v>
      </c>
      <c r="F50" s="11">
        <f>(МДанные!E50+МДанные!J50)*МДанные!$D$77</f>
        <v>0.48449999999999999</v>
      </c>
      <c r="G50" s="11">
        <f>МДанные!I50*МДанные!$D$77</f>
        <v>8.8350000000000009</v>
      </c>
      <c r="H50" s="12">
        <f t="shared" si="4"/>
        <v>0</v>
      </c>
      <c r="I50" s="11">
        <f t="shared" si="5"/>
        <v>0</v>
      </c>
      <c r="J50" s="12">
        <f t="shared" si="6"/>
        <v>0</v>
      </c>
      <c r="K50" s="13">
        <f>D50</f>
        <v>0</v>
      </c>
      <c r="L50" s="41" t="s">
        <v>99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44"/>
      <c r="X50" s="3"/>
      <c r="Y50" s="3"/>
      <c r="Z50" s="3"/>
    </row>
    <row r="51" spans="1:26" x14ac:dyDescent="0.25">
      <c r="A51" s="3"/>
      <c r="B51" s="463" t="s">
        <v>440</v>
      </c>
      <c r="C51" s="464"/>
      <c r="D51" s="36">
        <v>0</v>
      </c>
      <c r="E51" s="373">
        <f>MAX(0,MIN(МДанные!AM51,МДанные!AN51,МДанные!AO51))+D51</f>
        <v>38</v>
      </c>
      <c r="F51" s="8">
        <f>МДанные!E51*МДанные!$D$77</f>
        <v>0.30399999999999999</v>
      </c>
      <c r="G51" s="8">
        <f>МДанные!I51*МДанные!$D$77</f>
        <v>5.51</v>
      </c>
      <c r="H51" s="9">
        <f t="shared" si="4"/>
        <v>0</v>
      </c>
      <c r="I51" s="8">
        <f t="shared" si="5"/>
        <v>0</v>
      </c>
      <c r="J51" s="9">
        <f t="shared" si="6"/>
        <v>0</v>
      </c>
      <c r="K51" s="10" t="str">
        <f>МДанные!$D$135</f>
        <v>НЕТ</v>
      </c>
      <c r="L51" s="41" t="s">
        <v>131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44"/>
      <c r="X51" s="3"/>
      <c r="Y51" s="3"/>
      <c r="Z51" s="3"/>
    </row>
    <row r="52" spans="1:26" x14ac:dyDescent="0.25">
      <c r="A52" s="3"/>
      <c r="B52" s="463" t="s">
        <v>441</v>
      </c>
      <c r="C52" s="464"/>
      <c r="D52" s="36">
        <v>0</v>
      </c>
      <c r="E52" s="373">
        <f>MAX(0,MIN(МДанные!AM52,МДанные!AN52,МДанные!AO52))+D52</f>
        <v>24</v>
      </c>
      <c r="F52" s="8">
        <f>МДанные!E52*МДанные!$D$77</f>
        <v>0.30399999999999999</v>
      </c>
      <c r="G52" s="8">
        <f>МДанные!I52*МДанные!$D$77</f>
        <v>8.8350000000000009</v>
      </c>
      <c r="H52" s="9">
        <f t="shared" si="4"/>
        <v>0</v>
      </c>
      <c r="I52" s="8">
        <f t="shared" si="5"/>
        <v>0</v>
      </c>
      <c r="J52" s="9">
        <f t="shared" si="6"/>
        <v>0</v>
      </c>
      <c r="K52" s="10" t="str">
        <f>МДанные!$D$135</f>
        <v>НЕТ</v>
      </c>
      <c r="L52" s="41" t="s">
        <v>99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44"/>
      <c r="X52" s="3"/>
      <c r="Y52" s="3"/>
      <c r="Z52" s="3"/>
    </row>
    <row r="53" spans="1:26" x14ac:dyDescent="0.25">
      <c r="A53" s="3"/>
      <c r="B53" s="483" t="s">
        <v>442</v>
      </c>
      <c r="C53" s="484"/>
      <c r="D53" s="36">
        <v>0</v>
      </c>
      <c r="E53" s="374">
        <f>MAX(0,MIN(МДанные!AM53,МДанные!AN53,МДанные!AO53))+D53</f>
        <v>0</v>
      </c>
      <c r="F53" s="11">
        <f>(МДанные!E53+МДанные!J53)*МДанные!$D$77</f>
        <v>0.48449999999999999</v>
      </c>
      <c r="G53" s="11">
        <f>МДанные!I53*МДанные!$D$77</f>
        <v>5.51</v>
      </c>
      <c r="H53" s="12">
        <f t="shared" si="4"/>
        <v>0</v>
      </c>
      <c r="I53" s="11">
        <f t="shared" si="5"/>
        <v>0</v>
      </c>
      <c r="J53" s="12">
        <f t="shared" si="6"/>
        <v>0</v>
      </c>
      <c r="K53" s="13">
        <f>D53</f>
        <v>0</v>
      </c>
      <c r="L53" s="41" t="s">
        <v>131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44"/>
      <c r="X53" s="3"/>
      <c r="Y53" s="3"/>
      <c r="Z53" s="3"/>
    </row>
    <row r="54" spans="1:26" x14ac:dyDescent="0.25">
      <c r="A54" s="3"/>
      <c r="B54" s="483" t="s">
        <v>443</v>
      </c>
      <c r="C54" s="484"/>
      <c r="D54" s="36">
        <v>0</v>
      </c>
      <c r="E54" s="374">
        <f>MAX(0,MIN(МДанные!AM54,МДанные!AN54,МДанные!AO54))+D54</f>
        <v>0</v>
      </c>
      <c r="F54" s="11">
        <f>(МДанные!E54+МДанные!J54)*МДанные!$D$77</f>
        <v>0.48449999999999999</v>
      </c>
      <c r="G54" s="11">
        <f>МДанные!I54*МДанные!$D$77</f>
        <v>8.8350000000000009</v>
      </c>
      <c r="H54" s="12">
        <f t="shared" si="4"/>
        <v>0</v>
      </c>
      <c r="I54" s="11">
        <f t="shared" si="5"/>
        <v>0</v>
      </c>
      <c r="J54" s="12">
        <f t="shared" si="6"/>
        <v>0</v>
      </c>
      <c r="K54" s="136">
        <f>D54</f>
        <v>0</v>
      </c>
      <c r="L54" s="134" t="s">
        <v>99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44"/>
      <c r="X54" s="3"/>
      <c r="Y54" s="3"/>
      <c r="Z54" s="3"/>
    </row>
    <row r="55" spans="1:26" x14ac:dyDescent="0.25">
      <c r="A55" s="3"/>
      <c r="B55" s="477" t="s">
        <v>32</v>
      </c>
      <c r="C55" s="478"/>
      <c r="D55" s="37">
        <v>0</v>
      </c>
      <c r="E55" s="373">
        <f>MAX(0,MIN(МДанные!AM55,МДанные!AN55,МДанные!AO55))+D55</f>
        <v>71</v>
      </c>
      <c r="F55" s="8">
        <f>МДанные!E55*МДанные!$D$77</f>
        <v>0.29449999999999998</v>
      </c>
      <c r="G55" s="8">
        <f>МДанные!F55*МДанные!$D$77</f>
        <v>2.8214999999999999</v>
      </c>
      <c r="H55" s="9">
        <f t="shared" si="4"/>
        <v>0</v>
      </c>
      <c r="I55" s="8">
        <f t="shared" si="5"/>
        <v>0</v>
      </c>
      <c r="J55" s="9">
        <f t="shared" ref="J55" si="7">I55*G55</f>
        <v>0</v>
      </c>
      <c r="K55" s="135" t="str">
        <f>МДанные!$D$135</f>
        <v>НЕТ</v>
      </c>
      <c r="L55" s="377"/>
      <c r="M55" s="1"/>
      <c r="N55" s="1"/>
      <c r="O55" s="1"/>
      <c r="P55" s="1"/>
      <c r="Q55" s="1"/>
      <c r="R55" s="1"/>
      <c r="S55" s="1"/>
      <c r="T55" s="1"/>
      <c r="U55" s="1"/>
      <c r="V55" s="1"/>
      <c r="W55" s="44"/>
      <c r="X55" s="3"/>
      <c r="Y55" s="3"/>
      <c r="Z55" s="3"/>
    </row>
    <row r="56" spans="1:26" ht="15.75" x14ac:dyDescent="0.25">
      <c r="A56" s="3"/>
      <c r="B56" s="470" t="s">
        <v>33</v>
      </c>
      <c r="C56" s="479"/>
      <c r="D56" s="479"/>
      <c r="E56" s="479"/>
      <c r="F56" s="479"/>
      <c r="G56" s="479"/>
      <c r="H56" s="479"/>
      <c r="I56" s="479"/>
      <c r="J56" s="20"/>
      <c r="K56" s="383"/>
      <c r="L56" s="19"/>
      <c r="M56" s="1"/>
      <c r="N56" s="1"/>
      <c r="O56" s="1"/>
      <c r="P56" s="1"/>
      <c r="Q56" s="1"/>
      <c r="R56" s="1"/>
      <c r="S56" s="1"/>
      <c r="T56" s="1"/>
      <c r="U56" s="1"/>
      <c r="V56" s="1"/>
      <c r="W56" s="44"/>
      <c r="X56" s="3"/>
      <c r="Y56" s="3"/>
      <c r="Z56" s="3"/>
    </row>
    <row r="57" spans="1:26" x14ac:dyDescent="0.25">
      <c r="A57" s="3"/>
      <c r="B57" s="461" t="s">
        <v>34</v>
      </c>
      <c r="C57" s="462"/>
      <c r="D57" s="36">
        <v>0</v>
      </c>
      <c r="E57" s="374">
        <f>MAX(0,MIN(МДанные!AM57,МДанные!AN57,МДанные!AO57))+D57</f>
        <v>0</v>
      </c>
      <c r="F57" s="11">
        <f>(МДанные!E57+МДанные!G57)*МДанные!$D$77</f>
        <v>9.5000000000000001E-2</v>
      </c>
      <c r="G57" s="11">
        <f>МДанные!F57*МДанные!$D$77</f>
        <v>1.9</v>
      </c>
      <c r="H57" s="12">
        <f>IF(D57&gt;SUM(D8:D17),SUM(D8:D17)*F57,D57*F57)</f>
        <v>0</v>
      </c>
      <c r="I57" s="11">
        <f>IF(D57&gt;SUM(I8:I17),SUM(I8:I17),D57)</f>
        <v>0</v>
      </c>
      <c r="J57" s="12">
        <f t="shared" ref="J57:J58" si="8">I57*G57</f>
        <v>0</v>
      </c>
      <c r="K57" s="21"/>
      <c r="L57" s="22"/>
      <c r="M57" s="1"/>
      <c r="N57" s="1"/>
      <c r="O57" s="1"/>
      <c r="P57" s="1"/>
      <c r="Q57" s="1"/>
      <c r="R57" s="1"/>
      <c r="S57" s="1"/>
      <c r="T57" s="1"/>
      <c r="U57" s="1"/>
      <c r="V57" s="1"/>
      <c r="W57" s="44"/>
      <c r="X57" s="3"/>
      <c r="Y57" s="3"/>
      <c r="Z57" s="3"/>
    </row>
    <row r="58" spans="1:26" x14ac:dyDescent="0.25">
      <c r="A58" s="3"/>
      <c r="B58" s="463" t="s">
        <v>84</v>
      </c>
      <c r="C58" s="464"/>
      <c r="D58" s="36">
        <v>0</v>
      </c>
      <c r="E58" s="373">
        <f>MAX(0,MIN(МДанные!AM58,МДанные!AN58,МДанные!AO58))+D58</f>
        <v>0</v>
      </c>
      <c r="F58" s="8">
        <f>МДанные!E61*МДанные!$D$77</f>
        <v>9.5000000000000001E-2</v>
      </c>
      <c r="G58" s="8">
        <f>МДанные!F61*МДанные!$D$77</f>
        <v>10.26</v>
      </c>
      <c r="H58" s="9">
        <f>IF(D58&gt;D18,D18*F58,D58*F58)</f>
        <v>0</v>
      </c>
      <c r="I58" s="8">
        <f>IF(D58&gt;I18,I18,D58)</f>
        <v>0</v>
      </c>
      <c r="J58" s="9">
        <f t="shared" si="8"/>
        <v>0</v>
      </c>
      <c r="K58" s="21"/>
      <c r="L58" s="22"/>
      <c r="M58" s="1"/>
      <c r="N58" s="1"/>
      <c r="O58" s="1"/>
      <c r="P58" s="1"/>
      <c r="Q58" s="1"/>
      <c r="R58" s="1"/>
      <c r="S58" s="1"/>
      <c r="T58" s="1"/>
      <c r="U58" s="1"/>
      <c r="V58" s="1"/>
      <c r="W58" s="44"/>
      <c r="X58" s="3"/>
      <c r="Y58" s="3"/>
      <c r="Z58" s="3"/>
    </row>
    <row r="59" spans="1:26" x14ac:dyDescent="0.25">
      <c r="A59" s="3"/>
      <c r="B59" s="480" t="s">
        <v>35</v>
      </c>
      <c r="C59" s="481"/>
      <c r="D59" s="36">
        <v>0</v>
      </c>
      <c r="E59" s="374">
        <f>MAX(0,MIN(МДанные!AM59,МДанные!AN59,МДанные!AO59))+D59</f>
        <v>18</v>
      </c>
      <c r="F59" s="11">
        <f>(МДанные!E65+МДанные!G65)*МДанные!$D$77</f>
        <v>7.1724999999999994</v>
      </c>
      <c r="G59" s="11">
        <f>МДанные!F65*МДанные!$D$77</f>
        <v>0</v>
      </c>
      <c r="H59" s="12">
        <f>D59*F59</f>
        <v>0</v>
      </c>
      <c r="I59" s="375">
        <v>0</v>
      </c>
      <c r="J59" s="12">
        <v>0</v>
      </c>
      <c r="K59" s="21"/>
      <c r="L59" s="22"/>
      <c r="M59" s="1"/>
      <c r="N59" s="1"/>
      <c r="O59" s="1"/>
      <c r="P59" s="1"/>
      <c r="Q59" s="1"/>
      <c r="R59" s="1"/>
      <c r="S59" s="1"/>
      <c r="T59" s="1"/>
      <c r="U59" s="1"/>
      <c r="V59" s="1"/>
      <c r="W59" s="44"/>
      <c r="X59" s="3"/>
      <c r="Y59" s="3"/>
      <c r="Z59" s="3"/>
    </row>
    <row r="60" spans="1:26" x14ac:dyDescent="0.25">
      <c r="A60" s="3"/>
      <c r="B60" s="476" t="s">
        <v>36</v>
      </c>
      <c r="C60" s="476"/>
      <c r="D60" s="8">
        <f>D59</f>
        <v>0</v>
      </c>
      <c r="E60" s="373">
        <f>MAX(0,MIN(МДанные!AM60,МДанные!AN60,МДанные!AO60))+D60</f>
        <v>18</v>
      </c>
      <c r="F60" s="8">
        <f>МДанные!E66*МДанные!$D$77</f>
        <v>1.4249999999999998</v>
      </c>
      <c r="G60" s="8">
        <f>МДанные!F66*МДанные!$D$77</f>
        <v>0</v>
      </c>
      <c r="H60" s="9">
        <f>D60*F60</f>
        <v>0</v>
      </c>
      <c r="I60" s="8">
        <v>0</v>
      </c>
      <c r="J60" s="9">
        <v>0</v>
      </c>
      <c r="K60" s="23"/>
      <c r="L60" s="24"/>
      <c r="M60" s="1"/>
      <c r="N60" s="1"/>
      <c r="O60" s="1"/>
      <c r="P60" s="1"/>
      <c r="Q60" s="1"/>
      <c r="R60" s="1"/>
      <c r="S60" s="1"/>
      <c r="T60" s="1"/>
      <c r="U60" s="1"/>
      <c r="V60" s="1"/>
      <c r="W60" s="44"/>
      <c r="X60" s="3"/>
      <c r="Y60" s="3"/>
      <c r="Z60" s="3"/>
    </row>
    <row r="61" spans="1:26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5">
      <c r="A62" s="3"/>
      <c r="B62" s="33"/>
      <c r="C62" s="33" t="s">
        <v>792</v>
      </c>
      <c r="D62" s="33"/>
      <c r="E62" s="33"/>
      <c r="F62" s="33"/>
      <c r="G62" s="33"/>
      <c r="H62" s="33" t="s">
        <v>173</v>
      </c>
      <c r="I62" s="33"/>
      <c r="J62" s="33"/>
      <c r="K62" s="3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3"/>
      <c r="B63" s="33"/>
      <c r="C63" s="74" t="s">
        <v>163</v>
      </c>
      <c r="D63" s="42">
        <v>0.87</v>
      </c>
      <c r="E63" s="33"/>
      <c r="F63" s="33"/>
      <c r="G63" s="33"/>
      <c r="H63" s="465" t="str">
        <f>МДанные!E147</f>
        <v>Расчет верен</v>
      </c>
      <c r="I63" s="465"/>
      <c r="J63" s="465"/>
      <c r="K63" s="3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A64" s="3"/>
      <c r="B64" s="33"/>
      <c r="C64" s="73" t="s">
        <v>164</v>
      </c>
      <c r="D64" s="42">
        <v>50</v>
      </c>
      <c r="E64" s="33"/>
      <c r="F64" s="33"/>
      <c r="G64" s="33"/>
      <c r="H64" s="465" t="str">
        <f>МДанные!E148</f>
        <v>Превышен максимальный ток шлейфа</v>
      </c>
      <c r="I64" s="465"/>
      <c r="J64" s="465"/>
      <c r="K64" s="3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5">
      <c r="A65" s="3"/>
      <c r="B65" s="33"/>
      <c r="C65" s="1"/>
      <c r="D65" s="1"/>
      <c r="F65" s="33"/>
      <c r="G65" s="33"/>
      <c r="H65" s="465" t="str">
        <f>МДанные!E149</f>
        <v>Превышено максимальное количество извещателей</v>
      </c>
      <c r="I65" s="465"/>
      <c r="J65" s="465"/>
      <c r="K65" s="3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3"/>
      <c r="B66" s="33"/>
      <c r="C66" s="33" t="s">
        <v>793</v>
      </c>
      <c r="D66" s="33"/>
      <c r="E66" s="33"/>
      <c r="F66" s="33"/>
      <c r="G66" s="33"/>
      <c r="H66" s="465" t="str">
        <f>МДанные!E151</f>
        <v>Превышено максимальное количество модулей</v>
      </c>
      <c r="I66" s="465"/>
      <c r="J66" s="465"/>
      <c r="K66" s="3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5">
      <c r="A67" s="3"/>
      <c r="B67" s="33"/>
      <c r="C67" s="77" t="s">
        <v>170</v>
      </c>
      <c r="D67" s="78">
        <f>SUM(H8:H22,H24:H37,H39:H55,H57:H60)</f>
        <v>0</v>
      </c>
      <c r="E67" s="33"/>
      <c r="F67" s="33"/>
      <c r="G67" s="33"/>
      <c r="H67" s="465" t="str">
        <f>МДанные!E153</f>
        <v>Превышено количество изоляторов</v>
      </c>
      <c r="I67" s="465"/>
      <c r="J67" s="465"/>
      <c r="K67" s="3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3"/>
      <c r="B68" s="33"/>
      <c r="C68" s="75" t="s">
        <v>171</v>
      </c>
      <c r="D68" s="76">
        <f>D67+SUM(J8:J22,J24:J37,J39:J55,J57:J60)+D100</f>
        <v>0</v>
      </c>
      <c r="E68" s="79" t="str">
        <f>IF(МДанные!D202,"&gt;"&amp;D69," ")</f>
        <v xml:space="preserve"> </v>
      </c>
      <c r="F68" s="33"/>
      <c r="G68" s="33"/>
      <c r="H68" s="465" t="str">
        <f>МДанные!E155</f>
        <v>Ошибка расчета искробезопасных извещателей</v>
      </c>
      <c r="I68" s="465"/>
      <c r="J68" s="465"/>
      <c r="K68" s="3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5">
      <c r="A69" s="3"/>
      <c r="B69" s="33"/>
      <c r="C69" s="77" t="s">
        <v>172</v>
      </c>
      <c r="D69" s="80">
        <f>INT(МДанные!D127/D64*D63)</f>
        <v>222</v>
      </c>
      <c r="E69" s="33"/>
      <c r="F69" s="33"/>
      <c r="G69" s="33"/>
      <c r="H69" s="465" t="str">
        <f>МДанные!E158</f>
        <v>Изоляторов больше, чем устройств данного типа</v>
      </c>
      <c r="I69" s="465"/>
      <c r="J69" s="465"/>
      <c r="K69" s="3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5">
      <c r="A70" s="3"/>
      <c r="B70" s="33"/>
      <c r="C70" s="75" t="s">
        <v>867</v>
      </c>
      <c r="D70" s="368">
        <f>D69-D68</f>
        <v>222</v>
      </c>
      <c r="E70" s="33"/>
      <c r="F70" s="33"/>
      <c r="G70" s="33"/>
      <c r="H70" s="465" t="str">
        <f>МДанные!E159</f>
        <v>Указано больше ВУОСов, чем извещателей</v>
      </c>
      <c r="I70" s="465"/>
      <c r="J70" s="465"/>
      <c r="K70" s="3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5">
      <c r="A71" s="3"/>
      <c r="B71" s="33"/>
      <c r="C71" s="1"/>
      <c r="D71" s="1"/>
      <c r="E71" s="1"/>
      <c r="F71" s="1"/>
      <c r="G71" s="33"/>
      <c r="H71" s="465" t="str">
        <f>МДанные!E160</f>
        <v>Указано больше пультов, чем 6500(S)</v>
      </c>
      <c r="I71" s="465"/>
      <c r="J71" s="465"/>
      <c r="K71" s="3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5">
      <c r="A72" s="3"/>
      <c r="B72" s="33"/>
      <c r="C72" s="33" t="s">
        <v>794</v>
      </c>
      <c r="D72" s="33"/>
      <c r="E72" s="33"/>
      <c r="F72" s="33"/>
      <c r="G72" s="3"/>
      <c r="H72" s="474" t="str">
        <f>МДанные!E215</f>
        <v>Модуль не добавлен в расчет шкафа</v>
      </c>
      <c r="I72" s="474"/>
      <c r="J72" s="474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5">
      <c r="A73" s="3"/>
      <c r="B73" s="33"/>
      <c r="C73" s="77" t="s">
        <v>396</v>
      </c>
      <c r="D73" s="80">
        <f>МДанные!E68</f>
        <v>86</v>
      </c>
      <c r="E73" s="33"/>
      <c r="F73" s="3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5">
      <c r="A74" s="3"/>
      <c r="B74" s="33"/>
      <c r="C74" s="75" t="s">
        <v>397</v>
      </c>
      <c r="D74" s="76">
        <f>D67*МДанные!D79+D73</f>
        <v>86</v>
      </c>
      <c r="E74" s="33"/>
      <c r="F74" s="3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3"/>
      <c r="B75" s="33"/>
      <c r="C75" s="77" t="s">
        <v>398</v>
      </c>
      <c r="D75" s="81">
        <f>D68*МДанные!D79+D73</f>
        <v>86</v>
      </c>
      <c r="E75" s="33"/>
      <c r="F75" s="3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5">
      <c r="A76" s="3"/>
      <c r="B76" s="33"/>
      <c r="C76" s="75" t="str">
        <f>"Ёмкость АКБ, необходимая для выполнения правила "&amp;МДанные!D103&amp;"+"&amp;МДанные!D104&amp;", Ач"</f>
        <v>Ёмкость АКБ, необходимая для выполнения правила 24+3, Ач</v>
      </c>
      <c r="D76" s="82">
        <f>(D74*МДанные!D103+D75*МДанные!D104)*МДанные!D102/1000</f>
        <v>2.9024999999999999</v>
      </c>
      <c r="E76" s="33"/>
      <c r="F76" s="3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5">
      <c r="A77" s="3"/>
      <c r="B77" s="33"/>
      <c r="C77" s="33"/>
      <c r="D77" s="33"/>
      <c r="E77" s="33"/>
      <c r="F77" s="3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5">
      <c r="A78" s="3"/>
      <c r="B78" s="33"/>
      <c r="C78" s="33" t="s">
        <v>795</v>
      </c>
      <c r="D78" s="33"/>
      <c r="E78" s="33"/>
      <c r="F78" s="3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39" x14ac:dyDescent="0.25">
      <c r="A79" s="3"/>
      <c r="B79" s="33"/>
      <c r="C79" s="377" t="s">
        <v>232</v>
      </c>
      <c r="D79" s="378" t="s">
        <v>179</v>
      </c>
      <c r="E79" s="379" t="s">
        <v>178</v>
      </c>
      <c r="F79" s="3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5">
      <c r="A80" s="3"/>
      <c r="B80" s="33"/>
      <c r="C80" s="376">
        <v>0.75</v>
      </c>
      <c r="D80" s="86">
        <f>MIN(МДанные!D$108+МДанные!D$109*МДанные!D$110,(МДанные!D$120/E80*(1-МДанные!D$116/100))*1000)</f>
        <v>6000</v>
      </c>
      <c r="E80" s="370">
        <f>МДанные!D$114*МДанные!D$115/C80</f>
        <v>48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5">
      <c r="A81" s="3"/>
      <c r="B81" s="33"/>
      <c r="C81" s="87">
        <v>1</v>
      </c>
      <c r="D81" s="84">
        <f>MIN(МДанные!D$108+МДанные!D$109*МДанные!D$110,(МДанные!D$120/E81*(1-МДанные!D$116/100))*1000)</f>
        <v>6000</v>
      </c>
      <c r="E81" s="83">
        <f>МДанные!D$114*МДанные!D$115/C81</f>
        <v>36</v>
      </c>
      <c r="F81" s="3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3"/>
      <c r="B82" s="33"/>
      <c r="C82" s="85">
        <v>1.5</v>
      </c>
      <c r="D82" s="86">
        <f>MIN(МДанные!D$108+МДанные!D$109*МДанные!D$110,(МДанные!D$120/E82*(1-МДанные!D$116/100))*1000)</f>
        <v>6000</v>
      </c>
      <c r="E82" s="85">
        <f>МДанные!D$114*МДанные!D$115/C82</f>
        <v>24</v>
      </c>
      <c r="F82" s="3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5">
      <c r="A83" s="3"/>
      <c r="B83" s="33"/>
      <c r="C83" s="87">
        <v>2</v>
      </c>
      <c r="D83" s="84">
        <f>MIN(МДанные!D$108+МДанные!D$109*МДанные!D$110,(МДанные!D$120/E83*(1-МДанные!D$116/100))*1000)</f>
        <v>6000</v>
      </c>
      <c r="E83" s="83">
        <f>МДанные!D$114*МДанные!D$115/C83</f>
        <v>18</v>
      </c>
      <c r="F83" s="3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5">
      <c r="A84" s="3"/>
      <c r="B84" s="33"/>
      <c r="C84" s="85">
        <v>2.5</v>
      </c>
      <c r="D84" s="86">
        <f>MIN(МДанные!D$108+МДанные!D$109*МДанные!D$110,(МДанные!D$120/E84*(1-МДанные!D$116/100))*1000)</f>
        <v>6000</v>
      </c>
      <c r="E84" s="85">
        <f>МДанные!D$114*МДанные!D$115/C84</f>
        <v>14.4</v>
      </c>
      <c r="F84" s="3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3"/>
      <c r="B85" s="33"/>
      <c r="C85" s="33"/>
      <c r="D85" s="33"/>
      <c r="E85" s="33"/>
      <c r="F85" s="3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5">
      <c r="A86" s="3"/>
      <c r="B86" s="33"/>
      <c r="C86" s="33" t="s">
        <v>796</v>
      </c>
      <c r="D86" s="33"/>
      <c r="E86" s="33"/>
      <c r="F86" s="3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5">
      <c r="A87" s="3"/>
      <c r="B87" s="33"/>
      <c r="C87" s="88" t="s">
        <v>174</v>
      </c>
      <c r="D87" s="89">
        <f>SUM(D8:D22,D24:D37,D39:D55)</f>
        <v>0</v>
      </c>
      <c r="E87" s="33"/>
      <c r="F87" s="3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5">
      <c r="A88" s="3"/>
      <c r="B88" s="33"/>
      <c r="C88" s="90" t="s">
        <v>175</v>
      </c>
      <c r="D88" s="91">
        <f>MIN(SUM(D8:D18),60)+D89</f>
        <v>0</v>
      </c>
      <c r="E88" s="79" t="str">
        <f>IF(МДанные!D203,"&gt;"&amp;МДанные!D138," ")</f>
        <v xml:space="preserve"> </v>
      </c>
      <c r="F88" s="3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5">
      <c r="A89" s="3"/>
      <c r="B89" s="33"/>
      <c r="C89" s="88" t="s">
        <v>281</v>
      </c>
      <c r="D89" s="92">
        <f>SUM(D19:D20,2*D21,2*D22)+MAX(SUM(D8:D18)-60,0)</f>
        <v>0</v>
      </c>
      <c r="E89" s="79" t="str">
        <f>IF(МДанные!D204,"&gt;"&amp;МДанные!D139," ")</f>
        <v xml:space="preserve"> </v>
      </c>
      <c r="F89" s="3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5">
      <c r="A90" s="3"/>
      <c r="B90" s="33"/>
      <c r="C90" s="90" t="s">
        <v>282</v>
      </c>
      <c r="D90" s="91">
        <f>MIN(SUM(D24:D32,2*D33,3*D34,D35:D36,D39:D55,5*D37),60)+D91</f>
        <v>0</v>
      </c>
      <c r="E90" s="79" t="str">
        <f>IF(МДанные!D205,"&gt;"&amp;МДанные!D138," ")</f>
        <v xml:space="preserve"> </v>
      </c>
      <c r="F90" s="3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5">
      <c r="A91" s="3"/>
      <c r="B91" s="33"/>
      <c r="C91" s="88" t="s">
        <v>283</v>
      </c>
      <c r="D91" s="92">
        <f>SUM(D20,2*D21,2*D22)+MAX(SUM(D24:D32,2*D33,3*D34,D35:D36,D39:D55,5*D37)-60,0)</f>
        <v>0</v>
      </c>
      <c r="E91" s="79" t="str">
        <f>IF(МДанные!D206,"&gt;"&amp;МДанные!D139," ")</f>
        <v xml:space="preserve"> </v>
      </c>
      <c r="F91" s="3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5">
      <c r="A92" s="3"/>
      <c r="B92" s="33"/>
      <c r="C92" s="90" t="s">
        <v>176</v>
      </c>
      <c r="D92" s="91">
        <f>SUM(МДанные!AA8:AA56)</f>
        <v>0</v>
      </c>
      <c r="E92" s="33"/>
      <c r="F92" s="3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5">
      <c r="A93" s="3"/>
      <c r="B93" s="33"/>
      <c r="C93" s="88" t="s">
        <v>248</v>
      </c>
      <c r="D93" s="89">
        <f>IF(D92&gt;0,D87/D92,0)</f>
        <v>0</v>
      </c>
      <c r="E93" s="93" t="str">
        <f>IF(МДанные!D208,"&lt;"&amp;Nix,IF(МДанные!D207,"&lt;"&amp;Nir," "))</f>
        <v xml:space="preserve"> </v>
      </c>
      <c r="F93" s="3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5">
      <c r="A94" s="3"/>
      <c r="B94" s="33"/>
      <c r="C94" s="90" t="s">
        <v>177</v>
      </c>
      <c r="D94" s="94">
        <f>D19</f>
        <v>0</v>
      </c>
      <c r="E94" s="33"/>
      <c r="F94" s="3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3"/>
      <c r="B95" s="33"/>
      <c r="C95" s="88" t="s">
        <v>230</v>
      </c>
      <c r="D95" s="89">
        <f>IF(AND(D59=0,D19&gt;0),"ОШИБКА",D19/MAX(1,D59))</f>
        <v>0</v>
      </c>
      <c r="E95" s="79" t="str">
        <f>IF(AND(МДанные!D211,NOT(МДанные!D209)),"&gt;"&amp;МДанные!D143,IF(МДанные!D210,"&lt;1",""))</f>
        <v/>
      </c>
      <c r="F95" s="3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5">
      <c r="A96" s="3"/>
      <c r="B96" s="33"/>
      <c r="C96" s="33"/>
      <c r="D96" s="33"/>
      <c r="E96" s="33"/>
      <c r="F96" s="3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5">
      <c r="A97" s="3"/>
      <c r="B97" s="33"/>
      <c r="C97" s="33" t="s">
        <v>797</v>
      </c>
      <c r="D97" s="34"/>
      <c r="E97" s="34"/>
      <c r="F97" s="3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5">
      <c r="A98" s="3"/>
      <c r="B98" s="33"/>
      <c r="C98" s="29" t="s">
        <v>229</v>
      </c>
      <c r="D98" s="35">
        <f>SUM(J8:J22,J24:J35,J57:J58)</f>
        <v>0</v>
      </c>
      <c r="E98" s="33"/>
      <c r="F98" s="3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5">
      <c r="A99" s="3"/>
      <c r="B99" s="3"/>
      <c r="C99" s="31" t="s">
        <v>343</v>
      </c>
      <c r="D99" s="32">
        <f>SUM(J39:J55)</f>
        <v>0</v>
      </c>
      <c r="E99" s="33"/>
      <c r="F99" s="3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5">
      <c r="A100" s="3"/>
      <c r="B100" s="3"/>
      <c r="C100" s="29" t="s">
        <v>180</v>
      </c>
      <c r="D100" s="30">
        <f>IF(МДанные!D74=МДанные!D134,MIN(2,D92)*МДанные!D128,0)</f>
        <v>0</v>
      </c>
      <c r="E100" s="33"/>
      <c r="F100" s="3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5">
      <c r="A101" s="3"/>
      <c r="B101" s="3"/>
      <c r="C101" s="31" t="s">
        <v>181</v>
      </c>
      <c r="D101" s="32">
        <f>SUMPRODUCT(МДанные!K8:K56,МДанные!AA8:AA56)</f>
        <v>0</v>
      </c>
      <c r="E101" s="3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7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7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7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7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7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7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7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7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7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7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7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7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7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7" x14ac:dyDescent="0.25">
      <c r="A158" s="50"/>
      <c r="B158" s="49" t="s">
        <v>260</v>
      </c>
      <c r="C158" s="49"/>
      <c r="D158" s="49"/>
      <c r="E158" s="49"/>
      <c r="F158" s="49"/>
      <c r="G158" s="49"/>
      <c r="H158" s="49"/>
      <c r="I158" s="49"/>
      <c r="J158" s="49"/>
      <c r="K158" s="49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49"/>
    </row>
    <row r="159" spans="1:27" x14ac:dyDescent="0.25">
      <c r="A159" s="50"/>
      <c r="B159" s="45" t="s">
        <v>334</v>
      </c>
      <c r="C159" t="s">
        <v>352</v>
      </c>
      <c r="D159" s="49"/>
      <c r="E159" s="49"/>
      <c r="F159" s="49"/>
      <c r="G159" s="49"/>
      <c r="H159" s="49"/>
      <c r="I159" s="49"/>
      <c r="J159" s="49"/>
      <c r="K159" s="49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49"/>
    </row>
    <row r="160" spans="1:27" x14ac:dyDescent="0.25">
      <c r="A160" s="50"/>
      <c r="B160" s="49" t="s">
        <v>370</v>
      </c>
      <c r="C160" s="49" t="s">
        <v>371</v>
      </c>
      <c r="D160" s="49"/>
      <c r="E160" s="49"/>
      <c r="F160" s="49"/>
      <c r="G160" s="49"/>
      <c r="H160" s="49"/>
      <c r="I160" s="49"/>
      <c r="J160" s="49"/>
      <c r="K160" s="49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49"/>
    </row>
    <row r="161" spans="1:27" x14ac:dyDescent="0.25">
      <c r="A161" s="50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49"/>
    </row>
    <row r="162" spans="1:27" x14ac:dyDescent="0.25">
      <c r="A162" s="50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49"/>
    </row>
    <row r="163" spans="1:27" x14ac:dyDescent="0.25">
      <c r="A163" s="50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49"/>
    </row>
    <row r="164" spans="1:27" x14ac:dyDescent="0.25">
      <c r="A164" s="50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49"/>
    </row>
    <row r="165" spans="1:27" x14ac:dyDescent="0.25">
      <c r="A165" s="50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49"/>
    </row>
    <row r="166" spans="1:27" x14ac:dyDescent="0.25">
      <c r="A166" s="50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49"/>
    </row>
    <row r="167" spans="1:27" x14ac:dyDescent="0.25">
      <c r="A167" s="50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49"/>
    </row>
    <row r="168" spans="1:27" x14ac:dyDescent="0.25">
      <c r="A168" s="50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49"/>
    </row>
    <row r="169" spans="1:27" x14ac:dyDescent="0.25">
      <c r="A169" s="50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49"/>
    </row>
    <row r="170" spans="1:27" x14ac:dyDescent="0.25">
      <c r="A170" s="50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49"/>
    </row>
    <row r="171" spans="1:27" x14ac:dyDescent="0.25">
      <c r="A171" s="50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49"/>
    </row>
    <row r="172" spans="1:27" x14ac:dyDescent="0.25">
      <c r="A172" s="50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49"/>
    </row>
    <row r="173" spans="1:27" x14ac:dyDescent="0.25">
      <c r="A173" s="50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49"/>
    </row>
    <row r="174" spans="1:27" x14ac:dyDescent="0.25">
      <c r="A174" s="50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49"/>
    </row>
    <row r="175" spans="1:27" x14ac:dyDescent="0.25">
      <c r="A175" s="50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49"/>
    </row>
    <row r="176" spans="1:27" x14ac:dyDescent="0.25">
      <c r="A176" s="50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49"/>
    </row>
    <row r="177" spans="1:27" x14ac:dyDescent="0.25">
      <c r="A177" s="50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49"/>
    </row>
    <row r="178" spans="1:27" x14ac:dyDescent="0.25">
      <c r="A178" s="50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49"/>
    </row>
    <row r="179" spans="1:27" x14ac:dyDescent="0.25">
      <c r="A179" s="50"/>
      <c r="B179" s="50"/>
      <c r="C179" s="49"/>
      <c r="D179" s="49"/>
      <c r="E179" s="49"/>
      <c r="F179" s="49"/>
      <c r="G179" s="49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49"/>
    </row>
    <row r="180" spans="1:27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49"/>
    </row>
    <row r="181" spans="1:27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49"/>
    </row>
    <row r="182" spans="1:27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49"/>
    </row>
    <row r="183" spans="1:27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49"/>
    </row>
    <row r="184" spans="1:27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49"/>
    </row>
    <row r="185" spans="1:27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49"/>
    </row>
    <row r="186" spans="1:27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49"/>
    </row>
    <row r="187" spans="1:27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49"/>
    </row>
    <row r="188" spans="1:27" x14ac:dyDescent="0.25">
      <c r="A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</row>
  </sheetData>
  <sheetProtection password="DF98" sheet="1" objects="1" scenarios="1"/>
  <mergeCells count="68">
    <mergeCell ref="B31:C31"/>
    <mergeCell ref="B36:C36"/>
    <mergeCell ref="H72:J72"/>
    <mergeCell ref="B8:C8"/>
    <mergeCell ref="C2:I2"/>
    <mergeCell ref="B6:C6"/>
    <mergeCell ref="B7:I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26:C26"/>
    <mergeCell ref="B27:C27"/>
    <mergeCell ref="B28:C28"/>
    <mergeCell ref="B29:C29"/>
    <mergeCell ref="B30:C30"/>
    <mergeCell ref="H69:J69"/>
    <mergeCell ref="H70:J70"/>
    <mergeCell ref="H71:J71"/>
    <mergeCell ref="H66:J66"/>
    <mergeCell ref="H67:J67"/>
    <mergeCell ref="B55:C55"/>
    <mergeCell ref="B56:I56"/>
    <mergeCell ref="B57:C57"/>
    <mergeCell ref="B58:C58"/>
    <mergeCell ref="H68:J68"/>
    <mergeCell ref="B59:C59"/>
    <mergeCell ref="B60:C60"/>
    <mergeCell ref="H63:J63"/>
    <mergeCell ref="H64:J64"/>
    <mergeCell ref="H65:J65"/>
    <mergeCell ref="B54:C54"/>
    <mergeCell ref="B51:C51"/>
    <mergeCell ref="B33:C33"/>
    <mergeCell ref="B34:C34"/>
    <mergeCell ref="B35:C35"/>
    <mergeCell ref="B37:C37"/>
    <mergeCell ref="B38:I38"/>
    <mergeCell ref="B39:C39"/>
    <mergeCell ref="B41:C41"/>
    <mergeCell ref="B43:C43"/>
    <mergeCell ref="B45:C45"/>
    <mergeCell ref="B53:C53"/>
    <mergeCell ref="B49:C49"/>
    <mergeCell ref="B40:C40"/>
    <mergeCell ref="B42:C42"/>
    <mergeCell ref="B44:C44"/>
    <mergeCell ref="K4:L5"/>
    <mergeCell ref="C3:I3"/>
    <mergeCell ref="B48:C48"/>
    <mergeCell ref="B50:C50"/>
    <mergeCell ref="B52:C52"/>
    <mergeCell ref="B46:C46"/>
    <mergeCell ref="B47:C47"/>
    <mergeCell ref="B17:C17"/>
    <mergeCell ref="B18:C18"/>
    <mergeCell ref="B19:C19"/>
    <mergeCell ref="B32:C32"/>
    <mergeCell ref="B21:C21"/>
    <mergeCell ref="B22:C22"/>
    <mergeCell ref="B23:I23"/>
    <mergeCell ref="B24:C24"/>
    <mergeCell ref="B25:C25"/>
  </mergeCells>
  <conditionalFormatting sqref="B8:K17 B18:J18 B19:K19 B20:J22 B24:K29 B30:J36 B37:K37 B39:K55 B57:J60">
    <cfRule type="expression" dxfId="67" priority="2206">
      <formula>$D8&gt;0</formula>
    </cfRule>
  </conditionalFormatting>
  <conditionalFormatting sqref="F8:H22 J8:J22 D98:D99 D101 F39:H55 J39:J55 F24:H37 J24:J37 F57:H60 J57:J60">
    <cfRule type="expression" dxfId="66" priority="5">
      <formula>D8&gt;0</formula>
    </cfRule>
  </conditionalFormatting>
  <conditionalFormatting sqref="K37">
    <cfRule type="expression" dxfId="65" priority="20">
      <formula>$D37&gt;0</formula>
    </cfRule>
  </conditionalFormatting>
  <conditionalFormatting sqref="K18 K20:K22 K30:K36">
    <cfRule type="expression" dxfId="64" priority="2214">
      <formula>$K18&gt;0</formula>
    </cfRule>
  </conditionalFormatting>
  <conditionalFormatting sqref="K18 K20:K22 B18 B20:C22 K30:K36 B30:C36">
    <cfRule type="expression" dxfId="63" priority="1980">
      <formula>$K18&gt;$D18</formula>
    </cfRule>
  </conditionalFormatting>
  <dataValidations count="2">
    <dataValidation type="whole" allowBlank="1" showInputMessage="1" showErrorMessage="1" error="Количество изоляторов превышает количество устройств!" sqref="K30:K36 K18 K20:K22">
      <formula1>0</formula1>
      <formula2>D18</formula2>
    </dataValidation>
    <dataValidation allowBlank="1" showInputMessage="1" showErrorMessage="1" error="Введите значение из выпадающего списка!" sqref="L35:L36"/>
  </dataValidations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orelDraw.Graphic.17" shapeId="7169" r:id="rId4">
          <objectPr defaultSize="0" autoPict="0" r:id="rId5">
            <anchor moveWithCells="1">
              <from>
                <xdr:col>1</xdr:col>
                <xdr:colOff>0</xdr:colOff>
                <xdr:row>0</xdr:row>
                <xdr:rowOff>85725</xdr:rowOff>
              </from>
              <to>
                <xdr:col>2</xdr:col>
                <xdr:colOff>1847850</xdr:colOff>
                <xdr:row>2</xdr:row>
                <xdr:rowOff>76200</xdr:rowOff>
              </to>
            </anchor>
          </objectPr>
        </oleObject>
      </mc:Choice>
      <mc:Fallback>
        <oleObject progId="CorelDraw.Graphic.17" shapeId="7169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07" id="{D9F37069-A8E2-48EB-B701-EB13C8D3DA4F}">
            <xm:f>AND(МДанные!$D$209,МДанные!$D$211)</xm:f>
            <x14:dxf>
              <fill>
                <patternFill>
                  <bgColor rgb="FFFF0000"/>
                </patternFill>
              </fill>
            </x14:dxf>
          </x14:cfRule>
          <xm:sqref>D59 D19</xm:sqref>
        </x14:conditionalFormatting>
        <x14:conditionalFormatting xmlns:xm="http://schemas.microsoft.com/office/excel/2006/main">
          <x14:cfRule type="expression" priority="26" id="{D11981FC-96B0-4E6D-B2BB-3ED222D8FA95}">
            <xm:f>$D$63&lt;&gt;МДанные!$D$94</xm:f>
            <x14:dxf>
              <fill>
                <patternFill>
                  <bgColor rgb="FFFFFF00"/>
                </patternFill>
              </fill>
            </x14:dxf>
          </x14:cfRule>
          <xm:sqref>C63:D63</xm:sqref>
        </x14:conditionalFormatting>
        <x14:conditionalFormatting xmlns:xm="http://schemas.microsoft.com/office/excel/2006/main">
          <x14:cfRule type="expression" priority="27" id="{81464245-949B-459E-9FAB-E367780998F1}">
            <xm:f>$D$64=МДанные!$D$98</xm:f>
            <x14:dxf>
              <fill>
                <patternFill>
                  <bgColor rgb="FFFFFF00"/>
                </patternFill>
              </fill>
            </x14:dxf>
          </x14:cfRule>
          <xm:sqref>C64:D64</xm:sqref>
        </x14:conditionalFormatting>
        <x14:conditionalFormatting xmlns:xm="http://schemas.microsoft.com/office/excel/2006/main">
          <x14:cfRule type="expression" priority="1902" id="{23D181DC-90B3-4C8F-B1E7-79000366D6E6}">
            <xm:f>МДанные!$D$202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H64 D68</xm:sqref>
        </x14:conditionalFormatting>
        <x14:conditionalFormatting xmlns:xm="http://schemas.microsoft.com/office/excel/2006/main">
          <x14:cfRule type="expression" priority="1905" id="{145CA8C3-365B-4AF0-BA59-FB099EF4FD02}">
            <xm:f>МДанные!$D$205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H66 D90</xm:sqref>
        </x14:conditionalFormatting>
        <x14:conditionalFormatting xmlns:xm="http://schemas.microsoft.com/office/excel/2006/main">
          <x14:cfRule type="expression" priority="22" id="{2EB32E67-B866-4AE4-9FD9-A04B4404938F}">
            <xm:f>AND($D19&gt;0,МДанные!$D$204)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D19:D22</xm:sqref>
        </x14:conditionalFormatting>
        <x14:conditionalFormatting xmlns:xm="http://schemas.microsoft.com/office/excel/2006/main">
          <x14:cfRule type="expression" priority="1911" id="{880F4B10-FC17-477A-9762-2184DAC67C80}">
            <xm:f>МДанные!$D$212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H69:J69</xm:sqref>
        </x14:conditionalFormatting>
        <x14:conditionalFormatting xmlns:xm="http://schemas.microsoft.com/office/excel/2006/main">
          <x14:cfRule type="expression" priority="1975" id="{23D181DC-90B3-4C8F-B1E7-79000366D6E6}">
            <xm:f>МДанные!$D$203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H65 D88</xm:sqref>
        </x14:conditionalFormatting>
        <x14:conditionalFormatting xmlns:xm="http://schemas.microsoft.com/office/excel/2006/main">
          <x14:cfRule type="expression" priority="21" id="{9869EADC-D04F-4A64-B6AD-F4AEFE2B78DA}">
            <xm:f>AND($D8&gt;0,МДанные!$D$203)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D8:D22</xm:sqref>
        </x14:conditionalFormatting>
        <x14:conditionalFormatting xmlns:xm="http://schemas.microsoft.com/office/excel/2006/main">
          <x14:cfRule type="expression" priority="1978" id="{145CA8C3-365B-4AF0-BA59-FB099EF4FD02}">
            <xm:f>МДанные!$D$206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H66 D91</xm:sqref>
        </x14:conditionalFormatting>
        <x14:conditionalFormatting xmlns:xm="http://schemas.microsoft.com/office/excel/2006/main">
          <x14:cfRule type="expression" priority="28" id="{2EB32E67-B866-4AE4-9FD9-A04B4404938F}">
            <xm:f>AND($D20&gt;0,МДанные!$D$205)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D24:D34 D20:D22 D39:D55 D37</xm:sqref>
        </x14:conditionalFormatting>
        <x14:conditionalFormatting xmlns:xm="http://schemas.microsoft.com/office/excel/2006/main">
          <x14:cfRule type="expression" priority="1984" id="{880F4B10-FC17-477A-9762-2184DAC67C80}">
            <xm:f>МДанные!$D$213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H70:J70</xm:sqref>
        </x14:conditionalFormatting>
        <x14:conditionalFormatting xmlns:xm="http://schemas.microsoft.com/office/excel/2006/main">
          <x14:cfRule type="expression" priority="1985" id="{A6376B18-14A8-4A75-8FBE-83D86A5CCEA5}">
            <xm:f>МДанные!$D$207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H67 D93</xm:sqref>
        </x14:conditionalFormatting>
        <x14:conditionalFormatting xmlns:xm="http://schemas.microsoft.com/office/excel/2006/main">
          <x14:cfRule type="expression" priority="1988" id="{8519E646-A8E2-4F0F-895B-12D26DA36F73}">
            <xm:f>МДанные!$D$201</xm:f>
            <x14:dxf>
              <font>
                <b/>
                <i val="0"/>
                <color auto="1"/>
              </font>
              <fill>
                <patternFill>
                  <bgColor rgb="FF00B050"/>
                </patternFill>
              </fill>
            </x14:dxf>
          </x14:cfRule>
          <xm:sqref>H63:J63</xm:sqref>
        </x14:conditionalFormatting>
        <x14:conditionalFormatting xmlns:xm="http://schemas.microsoft.com/office/excel/2006/main">
          <x14:cfRule type="expression" priority="1989" id="{01025C07-7C3B-4D90-9B7A-FF924C3E1C51}">
            <xm:f>МДанные!$D$204</xm:f>
            <x14:dxf>
              <font>
                <b/>
                <i val="0"/>
                <color auto="1"/>
              </font>
              <fill>
                <patternFill>
                  <fgColor auto="1"/>
                  <bgColor rgb="FFFF0000"/>
                </patternFill>
              </fill>
            </x14:dxf>
          </x14:cfRule>
          <xm:sqref>H65 D89</xm:sqref>
        </x14:conditionalFormatting>
        <x14:conditionalFormatting xmlns:xm="http://schemas.microsoft.com/office/excel/2006/main">
          <x14:cfRule type="expression" priority="1956" id="{9FE60AF2-165B-4DDA-ACFB-E8C872C0B9C5}">
            <xm:f>AND($D20&gt;0,МДанные!$D$206)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D20:D22</xm:sqref>
        </x14:conditionalFormatting>
        <x14:conditionalFormatting xmlns:xm="http://schemas.microsoft.com/office/excel/2006/main">
          <x14:cfRule type="expression" priority="2007" id="{880F4B10-FC17-477A-9762-2184DAC67C80}">
            <xm:f>МДанные!$D$214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H71:J71</xm:sqref>
        </x14:conditionalFormatting>
        <x14:conditionalFormatting xmlns:xm="http://schemas.microsoft.com/office/excel/2006/main">
          <x14:cfRule type="expression" priority="2008" id="{DA1939F3-A404-4921-B183-86BC9B59C018}">
            <xm:f>МДанные!$D$210</xm:f>
            <x14:dxf>
              <fill>
                <patternFill>
                  <bgColor rgb="FFFFC000"/>
                </patternFill>
              </fill>
            </x14:dxf>
          </x14:cfRule>
          <xm:sqref>D19</xm:sqref>
        </x14:conditionalFormatting>
        <x14:conditionalFormatting xmlns:xm="http://schemas.microsoft.com/office/excel/2006/main">
          <x14:cfRule type="expression" priority="2009" id="{520826BB-99D5-4C46-91BD-C55F11C73021}">
            <xm:f>OR(МДанные!$D$209,МДанные!$D$211)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expression" priority="2010" id="{CF423C84-28D7-448A-B82B-378C70B58047}">
            <xm:f>МДанные!$D$210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H68 D95</xm:sqref>
        </x14:conditionalFormatting>
        <x14:conditionalFormatting xmlns:xm="http://schemas.microsoft.com/office/excel/2006/main">
          <x14:cfRule type="expression" priority="2013" id="{EFC770CC-CD03-4442-8435-A9A8E9401087}">
            <xm:f>МДанные!$D$210</xm:f>
            <x14:dxf>
              <fill>
                <patternFill patternType="lightUp">
                  <fgColor rgb="FFFFC000"/>
                </patternFill>
              </fill>
            </x14:dxf>
          </x14:cfRule>
          <xm:sqref>B59:J60</xm:sqref>
        </x14:conditionalFormatting>
        <x14:conditionalFormatting xmlns:xm="http://schemas.microsoft.com/office/excel/2006/main">
          <x14:cfRule type="expression" priority="2014" id="{762673F9-0C23-4AE2-B85E-EA3C3168209B}">
            <xm:f>МДанные!$D$213</xm:f>
            <x14:dxf>
              <fill>
                <patternFill patternType="solid">
                  <fgColor rgb="FFFFC000"/>
                  <bgColor rgb="FFFFC000"/>
                </patternFill>
              </fill>
            </x14:dxf>
          </x14:cfRule>
          <xm:sqref>B57:D57 F57:J57</xm:sqref>
        </x14:conditionalFormatting>
        <x14:conditionalFormatting xmlns:xm="http://schemas.microsoft.com/office/excel/2006/main">
          <x14:cfRule type="expression" priority="2015" id="{0B83369D-4B55-42CF-9E82-1F58068FCBBA}">
            <xm:f>МДанные!$D$210</xm:f>
            <x14:dxf>
              <font>
                <color rgb="FFFFC000"/>
              </font>
            </x14:dxf>
          </x14:cfRule>
          <xm:sqref>E95</xm:sqref>
        </x14:conditionalFormatting>
        <x14:conditionalFormatting xmlns:xm="http://schemas.microsoft.com/office/excel/2006/main">
          <x14:cfRule type="expression" priority="1977" id="{B41876A5-468A-41BF-8721-AC3F7B73F23C}">
            <xm:f>AND(МДанные!$D$213)</xm:f>
            <x14:dxf>
              <fill>
                <patternFill patternType="lightTrellis">
                  <fgColor rgb="FFFFC000"/>
                </patternFill>
              </fill>
            </x14:dxf>
          </x14:cfRule>
          <xm:sqref>D8:D17</xm:sqref>
        </x14:conditionalFormatting>
        <x14:conditionalFormatting xmlns:xm="http://schemas.microsoft.com/office/excel/2006/main">
          <x14:cfRule type="expression" priority="2017" id="{4D254815-0204-49E5-8A5A-CE941DD9A51D}">
            <xm:f>МДанные!$D$214</xm:f>
            <x14:dxf>
              <fill>
                <patternFill>
                  <bgColor rgb="FFFFC000"/>
                </patternFill>
              </fill>
            </x14:dxf>
          </x14:cfRule>
          <xm:sqref>B58:D58 F58:J58</xm:sqref>
        </x14:conditionalFormatting>
        <x14:conditionalFormatting xmlns:xm="http://schemas.microsoft.com/office/excel/2006/main">
          <x14:cfRule type="expression" priority="2018" id="{770A5FDF-C4D7-4B92-AC05-1CDBEBD6575C}">
            <xm:f>МДанные!$D$214</xm:f>
            <x14:dxf>
              <fill>
                <patternFill patternType="lightTrellis">
                  <fgColor rgb="FFFFC000"/>
                </patternFill>
              </fill>
            </x14:dxf>
          </x14:cfRule>
          <xm:sqref>D18</xm:sqref>
        </x14:conditionalFormatting>
        <x14:conditionalFormatting xmlns:xm="http://schemas.microsoft.com/office/excel/2006/main">
          <x14:cfRule type="expression" priority="2019" id="{ABB6A693-6682-4B0A-9AA4-2FB683951BD1}">
            <xm:f>NOT(МДанные!$D$215)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H72:J72 C3</xm:sqref>
        </x14:conditionalFormatting>
        <x14:conditionalFormatting xmlns:xm="http://schemas.microsoft.com/office/excel/2006/main">
          <x14:cfRule type="expression" priority="2245" id="{41386DC3-0FB9-41FF-AC49-EDCC3BB02F62}">
            <xm:f>AND($L36&gt;0,МДанные!$D$161)</xm:f>
            <x14:dxf>
              <fill>
                <patternFill>
                  <bgColor rgb="FFFFC000"/>
                </patternFill>
              </fill>
            </x14:dxf>
          </x14:cfRule>
          <xm:sqref>L36</xm:sqref>
        </x14:conditionalFormatting>
        <x14:conditionalFormatting xmlns:xm="http://schemas.microsoft.com/office/excel/2006/main">
          <x14:cfRule type="expression" priority="2264" id="{B01B9110-93F1-4EA4-B151-F2C2426DAF92}">
            <xm:f>AND($L30&gt;0,МДанные!$D$215)</xm:f>
            <x14:dxf>
              <fill>
                <patternFill>
                  <bgColor rgb="FFFFC000"/>
                </patternFill>
              </fill>
            </x14:dxf>
          </x14:cfRule>
          <xm:sqref>L30:L35</xm:sqref>
        </x14:conditionalFormatting>
        <x14:conditionalFormatting xmlns:xm="http://schemas.microsoft.com/office/excel/2006/main">
          <x14:cfRule type="expression" priority="1991" id="{2C2A81F2-067C-4118-B6A5-74D36471EEE9}">
            <xm:f>AND(МДанные!$D$208,$D9&gt;0,$K9&gt;0)</xm:f>
            <x14:dxf>
              <fill>
                <patternFill patternType="darkUp">
                  <fgColor rgb="FFFF0000"/>
                </patternFill>
              </fill>
            </x14:dxf>
          </x14:cfRule>
          <x14:cfRule type="expression" priority="2016" id="{5CECCBB3-7AF9-45CB-A039-153AE5C75F48}">
            <xm:f>AND(МДанные!$D$207,$D9&gt;0,$K9&gt;0)</xm:f>
            <x14:dxf>
              <fill>
                <patternFill patternType="lightUp">
                  <fgColor rgb="FFFFC000"/>
                </patternFill>
              </fill>
            </x14:dxf>
          </x14:cfRule>
          <xm:sqref>B9:K9 B11:K11 B13:K13 B15:K15 B17:K17 B25:K25 B27:K27 B29:K29 B41:K42 B45:K46 B49:K50 B53:K54 K18 K20:K22 B18 B20:C22 K30:K36 B30:C36</xm:sqref>
        </x14:conditionalFormatting>
        <x14:conditionalFormatting xmlns:xm="http://schemas.microsoft.com/office/excel/2006/main">
          <x14:cfRule type="expression" priority="4" id="{EF6A1926-F10F-4A42-A9B6-DC54BA2BBB36}">
            <xm:f>МДанные!$D$208</xm:f>
            <x14:dxf>
              <font>
                <b/>
                <i val="0"/>
              </font>
              <fill>
                <patternFill>
                  <bgColor rgb="FFFF0000"/>
                </patternFill>
              </fill>
            </x14:dxf>
          </x14:cfRule>
          <xm:sqref>D93 H67</xm:sqref>
        </x14:conditionalFormatting>
        <x14:conditionalFormatting xmlns:xm="http://schemas.microsoft.com/office/excel/2006/main">
          <x14:cfRule type="expression" priority="3" id="{F2D91C77-5258-4261-A33F-A1DAFE13F6EB}">
            <xm:f>МДанные!$D$208</xm:f>
            <x14:dxf>
              <font>
                <color rgb="FFFF0000"/>
              </font>
            </x14:dxf>
          </x14:cfRule>
          <xm:sqref>E93</xm:sqref>
        </x14:conditionalFormatting>
        <x14:conditionalFormatting xmlns:xm="http://schemas.microsoft.com/office/excel/2006/main">
          <x14:cfRule type="expression" priority="2" id="{C3EBCF5C-25A8-489D-B26E-E58FFD46B093}">
            <xm:f>AND($L39&lt;&gt;МДанные!$J$106,$D39&gt;0)</xm:f>
            <x14:dxf>
              <fill>
                <patternFill>
                  <bgColor rgb="FFFFFF00"/>
                </patternFill>
              </fill>
            </x14:dxf>
          </x14:cfRule>
          <xm:sqref>L39 L41 L43 L45 L47 L49 L51 L53</xm:sqref>
        </x14:conditionalFormatting>
        <x14:conditionalFormatting xmlns:xm="http://schemas.microsoft.com/office/excel/2006/main">
          <x14:cfRule type="expression" priority="1" id="{DBFA0ABE-3F08-431D-93F1-787FAEE18C99}">
            <xm:f>AND($L40&lt;&gt;МДанные!$J$74,$D40&gt;0)</xm:f>
            <x14:dxf>
              <fill>
                <patternFill>
                  <bgColor rgb="FFFFFF00"/>
                </patternFill>
              </fill>
            </x14:dxf>
          </x14:cfRule>
          <xm:sqref>L40 L42 L44 L46 L48 L50 L52 L54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error="Введите значение из выпадающего списка!">
          <x14:formula1>
            <xm:f>МДанные!$D$98:$D$99</xm:f>
          </x14:formula1>
          <xm:sqref>D64</xm:sqref>
        </x14:dataValidation>
        <x14:dataValidation type="list" allowBlank="1" showInputMessage="1" showErrorMessage="1" error="Введите значение из выпадающего списка!">
          <x14:formula1>
            <xm:f>МДанные!$D$93:$D$95</xm:f>
          </x14:formula1>
          <xm:sqref>D63</xm:sqref>
        </x14:dataValidation>
        <x14:dataValidation type="whole" allowBlank="1" showErrorMessage="1" error="Превышено количество устройств данного типа! Сначала добавьте извещатели.">
          <x14:formula1>
            <xm:f>0</xm:f>
          </x14:formula1>
          <x14:formula2>
            <xm:f>МДанные!I60</xm:f>
          </x14:formula2>
          <xm:sqref>D57</xm:sqref>
        </x14:dataValidation>
        <x14:dataValidation type="whole" allowBlank="1" showErrorMessage="1" error="Превышено количество устройств данного типа! Сначала добавьте извещатели.">
          <x14:formula1>
            <xm:f>0</xm:f>
          </x14:formula1>
          <x14:formula2>
            <xm:f>МДанные!I64</xm:f>
          </x14:formula2>
          <xm:sqref>D58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МДанные!I65</xm:f>
          </x14:formula2>
          <xm:sqref>D59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МДанные!L8</xm:f>
          </x14:formula2>
          <xm:sqref>D8:D22 D24:D37 D39:D55</xm:sqref>
        </x14:dataValidation>
        <x14:dataValidation type="list" allowBlank="1" showInputMessage="1" showErrorMessage="1">
          <x14:formula1>
            <xm:f>МДанные!$J$106:$J$137</xm:f>
          </x14:formula1>
          <xm:sqref>L39 L41 L43 L45 L47 L49 L51 L53</xm:sqref>
        </x14:dataValidation>
        <x14:dataValidation type="list" allowBlank="1" showInputMessage="1" showErrorMessage="1">
          <x14:formula1>
            <xm:f>МДанные!$J$74:$J$105</xm:f>
          </x14:formula1>
          <xm:sqref>L40 L42 L44 L46 L48 L50 L52 L54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O215"/>
  <sheetViews>
    <sheetView topLeftCell="A74" zoomScale="70" zoomScaleNormal="70" workbookViewId="0">
      <selection activeCell="P51" sqref="P51"/>
    </sheetView>
  </sheetViews>
  <sheetFormatPr defaultRowHeight="15" x14ac:dyDescent="0.25"/>
  <cols>
    <col min="1" max="1" width="1.7109375" customWidth="1"/>
    <col min="2" max="2" width="13.5703125" customWidth="1"/>
    <col min="3" max="3" width="68.5703125" customWidth="1"/>
    <col min="4" max="4" width="11.42578125" customWidth="1"/>
    <col min="5" max="16" width="17.140625" customWidth="1"/>
    <col min="17" max="28" width="14.28515625" customWidth="1"/>
    <col min="29" max="29" width="15.28515625" customWidth="1"/>
    <col min="31" max="32" width="10.28515625" bestFit="1" customWidth="1"/>
  </cols>
  <sheetData>
    <row r="4" spans="2:41" x14ac:dyDescent="0.25">
      <c r="B4" t="s">
        <v>399</v>
      </c>
      <c r="C4" t="s">
        <v>400</v>
      </c>
      <c r="D4" t="s">
        <v>401</v>
      </c>
      <c r="E4" t="s">
        <v>402</v>
      </c>
      <c r="F4" t="s">
        <v>403</v>
      </c>
      <c r="G4" t="s">
        <v>404</v>
      </c>
      <c r="H4" t="s">
        <v>405</v>
      </c>
      <c r="I4" t="s">
        <v>406</v>
      </c>
      <c r="J4" t="s">
        <v>407</v>
      </c>
      <c r="K4" t="s">
        <v>408</v>
      </c>
      <c r="L4" t="s">
        <v>409</v>
      </c>
      <c r="M4" t="s">
        <v>410</v>
      </c>
      <c r="N4" t="s">
        <v>411</v>
      </c>
      <c r="O4" t="s">
        <v>412</v>
      </c>
      <c r="P4" t="s">
        <v>413</v>
      </c>
      <c r="Q4" t="s">
        <v>414</v>
      </c>
      <c r="R4" t="s">
        <v>415</v>
      </c>
      <c r="S4" t="s">
        <v>416</v>
      </c>
      <c r="T4" t="s">
        <v>417</v>
      </c>
      <c r="U4" t="s">
        <v>418</v>
      </c>
      <c r="V4" t="s">
        <v>419</v>
      </c>
      <c r="W4" t="s">
        <v>420</v>
      </c>
      <c r="X4" t="s">
        <v>421</v>
      </c>
      <c r="Y4" t="s">
        <v>422</v>
      </c>
    </row>
    <row r="5" spans="2:41" ht="15" customHeight="1" x14ac:dyDescent="0.25">
      <c r="B5">
        <v>5</v>
      </c>
      <c r="C5" s="49"/>
      <c r="D5" s="50" t="s">
        <v>257</v>
      </c>
      <c r="E5" s="50"/>
      <c r="F5" s="50"/>
      <c r="G5" s="50"/>
      <c r="H5" s="50"/>
      <c r="I5" s="50"/>
      <c r="J5" s="50"/>
      <c r="K5" s="50"/>
      <c r="L5" s="50"/>
      <c r="M5" s="50"/>
      <c r="AD5" s="487" t="s">
        <v>860</v>
      </c>
      <c r="AE5" s="488"/>
      <c r="AF5" s="489"/>
      <c r="AG5" s="490" t="s">
        <v>861</v>
      </c>
      <c r="AH5" s="491"/>
      <c r="AI5" s="492"/>
      <c r="AJ5" s="493" t="s">
        <v>862</v>
      </c>
      <c r="AK5" s="494"/>
      <c r="AL5" s="495"/>
      <c r="AM5" s="496" t="s">
        <v>863</v>
      </c>
      <c r="AN5" s="497"/>
      <c r="AO5" s="498"/>
    </row>
    <row r="6" spans="2:41" ht="60" x14ac:dyDescent="0.25">
      <c r="B6">
        <v>6</v>
      </c>
      <c r="C6" s="49"/>
      <c r="D6" s="51" t="s">
        <v>44</v>
      </c>
      <c r="E6" s="52" t="s">
        <v>91</v>
      </c>
      <c r="F6" s="52" t="s">
        <v>90</v>
      </c>
      <c r="J6" s="52" t="s">
        <v>89</v>
      </c>
      <c r="K6" s="52" t="s">
        <v>88</v>
      </c>
      <c r="L6" s="52" t="s">
        <v>43</v>
      </c>
      <c r="M6" s="52" t="s">
        <v>369</v>
      </c>
      <c r="N6" s="51" t="s">
        <v>44</v>
      </c>
      <c r="O6" s="52" t="s">
        <v>42</v>
      </c>
      <c r="P6" s="96" t="s">
        <v>376</v>
      </c>
      <c r="Q6" s="97" t="s">
        <v>377</v>
      </c>
      <c r="R6" s="98" t="s">
        <v>378</v>
      </c>
      <c r="S6" s="99" t="s">
        <v>379</v>
      </c>
      <c r="U6" s="100" t="s">
        <v>380</v>
      </c>
      <c r="V6" s="100" t="s">
        <v>381</v>
      </c>
      <c r="W6" s="101" t="s">
        <v>386</v>
      </c>
      <c r="X6" s="101" t="s">
        <v>387</v>
      </c>
      <c r="Y6" s="102" t="s">
        <v>388</v>
      </c>
      <c r="Z6" s="102" t="s">
        <v>389</v>
      </c>
      <c r="AA6" s="103" t="s">
        <v>390</v>
      </c>
      <c r="AB6" s="367" t="s">
        <v>391</v>
      </c>
      <c r="AC6" s="51" t="s">
        <v>44</v>
      </c>
      <c r="AD6" s="100" t="s">
        <v>857</v>
      </c>
      <c r="AE6" s="100" t="s">
        <v>858</v>
      </c>
      <c r="AF6" s="100" t="s">
        <v>859</v>
      </c>
      <c r="AG6" s="101" t="s">
        <v>857</v>
      </c>
      <c r="AH6" s="101" t="s">
        <v>858</v>
      </c>
      <c r="AI6" s="101" t="s">
        <v>859</v>
      </c>
      <c r="AJ6" s="102" t="s">
        <v>857</v>
      </c>
      <c r="AK6" s="102" t="s">
        <v>858</v>
      </c>
      <c r="AL6" s="102" t="s">
        <v>859</v>
      </c>
      <c r="AM6" s="103" t="s">
        <v>857</v>
      </c>
      <c r="AN6" s="103" t="s">
        <v>858</v>
      </c>
      <c r="AO6" s="103" t="s">
        <v>859</v>
      </c>
    </row>
    <row r="7" spans="2:41" ht="15" customHeight="1" x14ac:dyDescent="0.25">
      <c r="B7">
        <v>7</v>
      </c>
      <c r="C7" s="49"/>
      <c r="D7" s="53" t="s">
        <v>45</v>
      </c>
      <c r="E7" s="54"/>
      <c r="F7" s="54"/>
      <c r="J7" s="54"/>
      <c r="K7" s="54"/>
      <c r="L7" s="55"/>
      <c r="N7" s="53" t="s">
        <v>45</v>
      </c>
      <c r="O7" s="54"/>
      <c r="P7" s="100"/>
      <c r="Q7" s="101"/>
      <c r="R7" s="102"/>
      <c r="S7" s="103"/>
      <c r="U7" s="100"/>
      <c r="V7" s="100"/>
      <c r="W7" s="101"/>
      <c r="X7" s="101"/>
      <c r="Y7" s="102"/>
      <c r="Z7" s="102"/>
      <c r="AA7" s="103"/>
      <c r="AB7" s="367"/>
      <c r="AC7" s="53" t="s">
        <v>45</v>
      </c>
      <c r="AD7" s="100"/>
      <c r="AE7" s="371"/>
      <c r="AF7" s="100"/>
      <c r="AG7" s="101"/>
      <c r="AH7" s="101"/>
      <c r="AI7" s="101"/>
      <c r="AJ7" s="102"/>
      <c r="AK7" s="102"/>
      <c r="AL7" s="102"/>
      <c r="AM7" s="103"/>
      <c r="AN7" s="103"/>
      <c r="AO7" s="103"/>
    </row>
    <row r="8" spans="2:41" x14ac:dyDescent="0.25">
      <c r="B8">
        <v>8</v>
      </c>
      <c r="C8" s="49"/>
      <c r="D8" s="56" t="s">
        <v>46</v>
      </c>
      <c r="E8" s="57">
        <v>0.3</v>
      </c>
      <c r="F8" s="57">
        <v>3.5</v>
      </c>
      <c r="J8" s="57">
        <v>0</v>
      </c>
      <c r="K8" s="57">
        <v>0</v>
      </c>
      <c r="L8" s="66">
        <f>INT(МДанные!$D$138/M8)</f>
        <v>159</v>
      </c>
      <c r="M8" s="70">
        <v>1</v>
      </c>
      <c r="N8" s="56" t="s">
        <v>46</v>
      </c>
      <c r="O8" s="57">
        <v>2</v>
      </c>
      <c r="P8" s="100">
        <f>P18+'2. СФ-МАШ-4 №1'!I18</f>
        <v>0</v>
      </c>
      <c r="Q8" s="101">
        <f>Q18+'3. СФ-МАШ-4 №2'!I18</f>
        <v>0</v>
      </c>
      <c r="R8" s="102">
        <f>R18+'4. СФ-МАШ-4 №3'!I18</f>
        <v>0</v>
      </c>
      <c r="S8" s="103">
        <f>S18+'5. СФ-МАШ-4 №4'!I18</f>
        <v>0</v>
      </c>
      <c r="U8" s="100">
        <f>MIN('2. СФ-МАШ-4 №1'!D8,IF('2. СФ-МАШ-4 №1'!K8=МДанные!$D$135,0,'2. СФ-МАШ-4 №1'!K8))</f>
        <v>0</v>
      </c>
      <c r="V8" s="100">
        <f t="shared" ref="V8:V22" si="0">U8*K8</f>
        <v>0</v>
      </c>
      <c r="W8" s="101">
        <f>MIN('3. СФ-МАШ-4 №2'!D8,IF('3. СФ-МАШ-4 №2'!K8=МДанные!$D$135,0,'3. СФ-МАШ-4 №2'!K8))</f>
        <v>0</v>
      </c>
      <c r="X8" s="101">
        <f t="shared" ref="X8:X22" si="1">W8*K8</f>
        <v>0</v>
      </c>
      <c r="Y8" s="102">
        <f>MIN('4. СФ-МАШ-4 №3'!D8,IF('4. СФ-МАШ-4 №3'!K8=МДанные!$D$135,0,'4. СФ-МАШ-4 №3'!K8))</f>
        <v>0</v>
      </c>
      <c r="Z8" s="102">
        <f t="shared" ref="Z8:Z22" si="2">Y8*K8</f>
        <v>0</v>
      </c>
      <c r="AA8" s="103">
        <f>MIN('5. СФ-МАШ-4 №4'!D8,IF('5. СФ-МАШ-4 №4'!K8=МДанные!$D$135,0,'5. СФ-МАШ-4 №4'!K8))</f>
        <v>0</v>
      </c>
      <c r="AB8" s="367">
        <f t="shared" ref="AB8:AB22" si="3">AA8*K8</f>
        <v>0</v>
      </c>
      <c r="AC8" s="56" t="s">
        <v>46</v>
      </c>
      <c r="AD8" s="100">
        <f t="shared" ref="AD8:AD18" si="4">Nax-N1as</f>
        <v>159</v>
      </c>
      <c r="AE8" s="100">
        <f>INT((d1I-(5-P8-'2. СФ-МАШ-4 №1'!I8)*('2. СФ-МАШ-4 №1'!F8+'2. СФ-МАШ-4 №1'!G8))/'2. СФ-МАШ-4 №1'!F8)+(5-P8-'2. СФ-МАШ-4 №1'!I8)</f>
        <v>720</v>
      </c>
      <c r="AF8" s="100"/>
      <c r="AG8" s="101">
        <f t="shared" ref="AG8:AG18" si="5">Nax-N2as</f>
        <v>159</v>
      </c>
      <c r="AH8" s="101">
        <f>INT((d2I-(5-Q8-'3. СФ-МАШ-4 №2'!I8)*('3. СФ-МАШ-4 №2'!F8+'3. СФ-МАШ-4 №2'!G8))/'3. СФ-МАШ-4 №2'!F8)+(5-Q8-'3. СФ-МАШ-4 №2'!I8)</f>
        <v>720</v>
      </c>
      <c r="AI8" s="101"/>
      <c r="AJ8" s="102">
        <f t="shared" ref="AJ8:AJ18" si="6">Nax-N3as</f>
        <v>159</v>
      </c>
      <c r="AK8" s="102">
        <f>INT((d3I-(5-R8-'4. СФ-МАШ-4 №3'!I8)*('4. СФ-МАШ-4 №3'!F8+'4. СФ-МАШ-4 №3'!G8))/'4. СФ-МАШ-4 №3'!F8)+(5-R8-'4. СФ-МАШ-4 №3'!I8)</f>
        <v>720</v>
      </c>
      <c r="AL8" s="102"/>
      <c r="AM8" s="103">
        <f t="shared" ref="AM8:AM18" si="7">Nax-N4as</f>
        <v>159</v>
      </c>
      <c r="AN8" s="103">
        <f>INT((d4I-(5-S8-'5. СФ-МАШ-4 №4'!I8)*('5. СФ-МАШ-4 №4'!F8+'5. СФ-МАШ-4 №4'!G8))/'5. СФ-МАШ-4 №4'!F8)+(5-S8-'5. СФ-МАШ-4 №4'!I8)</f>
        <v>720</v>
      </c>
      <c r="AO8" s="103"/>
    </row>
    <row r="9" spans="2:41" x14ac:dyDescent="0.25">
      <c r="B9">
        <v>9</v>
      </c>
      <c r="C9" s="49"/>
      <c r="D9" s="56" t="s">
        <v>47</v>
      </c>
      <c r="E9" s="57">
        <v>0.3</v>
      </c>
      <c r="F9" s="57">
        <v>3.5</v>
      </c>
      <c r="J9" s="57">
        <v>0.05</v>
      </c>
      <c r="K9" s="57">
        <v>0.13</v>
      </c>
      <c r="L9" s="66">
        <f>INT(МДанные!$D$138/M9)</f>
        <v>159</v>
      </c>
      <c r="M9" s="70">
        <v>1</v>
      </c>
      <c r="N9" s="56" t="s">
        <v>47</v>
      </c>
      <c r="O9" s="57">
        <v>3</v>
      </c>
      <c r="P9" s="100">
        <f>P8+'2. СФ-МАШ-4 №1'!I8</f>
        <v>0</v>
      </c>
      <c r="Q9" s="101">
        <f>Q8+'3. СФ-МАШ-4 №2'!I8</f>
        <v>0</v>
      </c>
      <c r="R9" s="102">
        <f>R8+'4. СФ-МАШ-4 №3'!I8</f>
        <v>0</v>
      </c>
      <c r="S9" s="103">
        <f>S8+'5. СФ-МАШ-4 №4'!I8</f>
        <v>0</v>
      </c>
      <c r="U9" s="100">
        <f>MIN('2. СФ-МАШ-4 №1'!D9,IF('2. СФ-МАШ-4 №1'!K9=МДанные!$D$135,0,'2. СФ-МАШ-4 №1'!K9))</f>
        <v>0</v>
      </c>
      <c r="V9" s="100">
        <f t="shared" si="0"/>
        <v>0</v>
      </c>
      <c r="W9" s="101">
        <f>MIN('3. СФ-МАШ-4 №2'!D9,IF('3. СФ-МАШ-4 №2'!K9=МДанные!$D$135,0,'3. СФ-МАШ-4 №2'!K9))</f>
        <v>0</v>
      </c>
      <c r="X9" s="101">
        <f t="shared" si="1"/>
        <v>0</v>
      </c>
      <c r="Y9" s="102">
        <f>MIN('4. СФ-МАШ-4 №3'!D9,IF('4. СФ-МАШ-4 №3'!K9=МДанные!$D$135,0,'4. СФ-МАШ-4 №3'!K9))</f>
        <v>0</v>
      </c>
      <c r="Z9" s="102">
        <f t="shared" si="2"/>
        <v>0</v>
      </c>
      <c r="AA9" s="103">
        <f>MIN('5. СФ-МАШ-4 №4'!D9,IF('5. СФ-МАШ-4 №4'!K9=МДанные!$D$135,0,'5. СФ-МАШ-4 №4'!K9))</f>
        <v>0</v>
      </c>
      <c r="AB9" s="367">
        <f t="shared" si="3"/>
        <v>0</v>
      </c>
      <c r="AC9" s="56" t="s">
        <v>47</v>
      </c>
      <c r="AD9" s="100">
        <f t="shared" si="4"/>
        <v>159</v>
      </c>
      <c r="AE9" s="100">
        <f>INT((d1I-MAX(2-'2. СФ-МАШ-4 №1'!$D$92,0)*15-(5-P9-'2. СФ-МАШ-4 №1'!I9)*('2. СФ-МАШ-4 №1'!F9+'2. СФ-МАШ-4 №1'!G9))/'2. СФ-МАШ-4 №1'!F9)+(5-P9-'2. СФ-МАШ-4 №1'!I9)</f>
        <v>527</v>
      </c>
      <c r="AF9" s="100">
        <f>INT((N1u-Nix*N1i)/(Nix-1))</f>
        <v>0</v>
      </c>
      <c r="AG9" s="101">
        <f t="shared" si="5"/>
        <v>159</v>
      </c>
      <c r="AH9" s="101">
        <f>INT((d2I-MAX(2-'3. СФ-МАШ-4 №2'!$D$92,0)*15-(5-Q9-'3. СФ-МАШ-4 №2'!I9)*('3. СФ-МАШ-4 №2'!F9+'3. СФ-МАШ-4 №2'!G9))/'3. СФ-МАШ-4 №2'!F9)+(5-Q9-'3. СФ-МАШ-4 №2'!I9)</f>
        <v>527</v>
      </c>
      <c r="AI9" s="101">
        <f>INT((N2u-Nix*N2i)/(Nix-1))</f>
        <v>0</v>
      </c>
      <c r="AJ9" s="102">
        <f t="shared" si="6"/>
        <v>159</v>
      </c>
      <c r="AK9" s="102">
        <f>INT((d3I-MAX(2-'4. СФ-МАШ-4 №3'!$D$92,0)*15-(5-R9-'4. СФ-МАШ-4 №3'!I9)*('4. СФ-МАШ-4 №3'!F9+'4. СФ-МАШ-4 №3'!G9))/'4. СФ-МАШ-4 №3'!F9)+(5-R9-'4. СФ-МАШ-4 №3'!I9)</f>
        <v>527</v>
      </c>
      <c r="AL9" s="102">
        <f>INT((N3u-Nix*N3i)/(Nix-1))</f>
        <v>0</v>
      </c>
      <c r="AM9" s="103">
        <f t="shared" si="7"/>
        <v>159</v>
      </c>
      <c r="AN9" s="103">
        <f>INT((d4I-MAX(2-'5. СФ-МАШ-4 №4'!$D$92,0)*15-(5-S9-'5. СФ-МАШ-4 №4'!I9)*('5. СФ-МАШ-4 №4'!F9+'5. СФ-МАШ-4 №4'!G9))/'5. СФ-МАШ-4 №4'!F9)+(5-S9-'5. СФ-МАШ-4 №4'!I9)</f>
        <v>527</v>
      </c>
      <c r="AO9" s="103">
        <f>INT((N4u-Nix*N4i)/(Nix-1))</f>
        <v>0</v>
      </c>
    </row>
    <row r="10" spans="2:41" x14ac:dyDescent="0.25">
      <c r="B10">
        <v>10</v>
      </c>
      <c r="C10" s="49"/>
      <c r="D10" s="56" t="s">
        <v>48</v>
      </c>
      <c r="E10" s="57">
        <v>0.3</v>
      </c>
      <c r="F10" s="57">
        <v>3.5</v>
      </c>
      <c r="J10" s="57">
        <v>0</v>
      </c>
      <c r="K10" s="57">
        <v>0</v>
      </c>
      <c r="L10" s="66">
        <f>INT(МДанные!$D$138/M10)</f>
        <v>159</v>
      </c>
      <c r="M10" s="70">
        <v>1</v>
      </c>
      <c r="N10" s="56" t="s">
        <v>48</v>
      </c>
      <c r="O10" s="57">
        <v>4</v>
      </c>
      <c r="P10" s="100">
        <f>P9+'2. СФ-МАШ-4 №1'!I9</f>
        <v>0</v>
      </c>
      <c r="Q10" s="101">
        <f>Q9+'3. СФ-МАШ-4 №2'!I9</f>
        <v>0</v>
      </c>
      <c r="R10" s="102">
        <f>R9+'4. СФ-МАШ-4 №3'!I9</f>
        <v>0</v>
      </c>
      <c r="S10" s="103">
        <f>S9+'5. СФ-МАШ-4 №4'!I9</f>
        <v>0</v>
      </c>
      <c r="U10" s="100">
        <f>MIN('2. СФ-МАШ-4 №1'!D10,IF('2. СФ-МАШ-4 №1'!K10=МДанные!$D$135,0,'2. СФ-МАШ-4 №1'!K10))</f>
        <v>0</v>
      </c>
      <c r="V10" s="100">
        <f t="shared" si="0"/>
        <v>0</v>
      </c>
      <c r="W10" s="101">
        <f>MIN('3. СФ-МАШ-4 №2'!D10,IF('3. СФ-МАШ-4 №2'!K10=МДанные!$D$135,0,'3. СФ-МАШ-4 №2'!K10))</f>
        <v>0</v>
      </c>
      <c r="X10" s="101">
        <f t="shared" si="1"/>
        <v>0</v>
      </c>
      <c r="Y10" s="102">
        <f>MIN('4. СФ-МАШ-4 №3'!D10,IF('4. СФ-МАШ-4 №3'!K10=МДанные!$D$135,0,'4. СФ-МАШ-4 №3'!K10))</f>
        <v>0</v>
      </c>
      <c r="Z10" s="102">
        <f t="shared" si="2"/>
        <v>0</v>
      </c>
      <c r="AA10" s="103">
        <f>MIN('5. СФ-МАШ-4 №4'!D10,IF('5. СФ-МАШ-4 №4'!K10=МДанные!$D$135,0,'5. СФ-МАШ-4 №4'!K10))</f>
        <v>0</v>
      </c>
      <c r="AB10" s="367">
        <f t="shared" si="3"/>
        <v>0</v>
      </c>
      <c r="AC10" s="56" t="s">
        <v>48</v>
      </c>
      <c r="AD10" s="100">
        <f t="shared" si="4"/>
        <v>159</v>
      </c>
      <c r="AE10" s="100">
        <f>INT((d1I-(5-P10-'2. СФ-МАШ-4 №1'!I10)*('2. СФ-МАШ-4 №1'!F10+'2. СФ-МАШ-4 №1'!G10))/'2. СФ-МАШ-4 №1'!F10)+(5-P10-'2. СФ-МАШ-4 №1'!I10)</f>
        <v>720</v>
      </c>
      <c r="AF10" s="100"/>
      <c r="AG10" s="101">
        <f t="shared" si="5"/>
        <v>159</v>
      </c>
      <c r="AH10" s="101">
        <f>INT((d2I-(5-Q10-'3. СФ-МАШ-4 №2'!I10)*('3. СФ-МАШ-4 №2'!F10+'3. СФ-МАШ-4 №2'!G10))/'3. СФ-МАШ-4 №2'!F10)+(5-Q10-'3. СФ-МАШ-4 №2'!I10)</f>
        <v>720</v>
      </c>
      <c r="AI10" s="101"/>
      <c r="AJ10" s="102">
        <f t="shared" si="6"/>
        <v>159</v>
      </c>
      <c r="AK10" s="102">
        <f>INT((d3I-(5-R10-'4. СФ-МАШ-4 №3'!I10)*('4. СФ-МАШ-4 №3'!F10+'4. СФ-МАШ-4 №3'!G10))/'4. СФ-МАШ-4 №3'!F10)+(5-R10-'4. СФ-МАШ-4 №3'!I10)</f>
        <v>720</v>
      </c>
      <c r="AL10" s="102"/>
      <c r="AM10" s="103">
        <f t="shared" si="7"/>
        <v>159</v>
      </c>
      <c r="AN10" s="103">
        <f>INT((d4I-(5-S10-'5. СФ-МАШ-4 №4'!I10)*('5. СФ-МАШ-4 №4'!F10+'5. СФ-МАШ-4 №4'!G10))/'5. СФ-МАШ-4 №4'!F10)+(5-S10-'5. СФ-МАШ-4 №4'!I10)</f>
        <v>720</v>
      </c>
      <c r="AO10" s="103"/>
    </row>
    <row r="11" spans="2:41" x14ac:dyDescent="0.25">
      <c r="B11">
        <v>11</v>
      </c>
      <c r="C11" s="49"/>
      <c r="D11" s="56" t="s">
        <v>49</v>
      </c>
      <c r="E11" s="57">
        <v>0.3</v>
      </c>
      <c r="F11" s="57">
        <v>3.5</v>
      </c>
      <c r="J11" s="57">
        <v>0.05</v>
      </c>
      <c r="K11" s="57">
        <v>0.13</v>
      </c>
      <c r="L11" s="66">
        <f>INT(МДанные!$D$138/M11)</f>
        <v>159</v>
      </c>
      <c r="M11" s="70">
        <v>1</v>
      </c>
      <c r="N11" s="56" t="s">
        <v>49</v>
      </c>
      <c r="O11" s="57">
        <v>5</v>
      </c>
      <c r="P11" s="100">
        <f>P10+'2. СФ-МАШ-4 №1'!I10</f>
        <v>0</v>
      </c>
      <c r="Q11" s="101">
        <f>Q10+'3. СФ-МАШ-4 №2'!I10</f>
        <v>0</v>
      </c>
      <c r="R11" s="102">
        <f>R10+'4. СФ-МАШ-4 №3'!I10</f>
        <v>0</v>
      </c>
      <c r="S11" s="103">
        <f>S10+'5. СФ-МАШ-4 №4'!I10</f>
        <v>0</v>
      </c>
      <c r="U11" s="100">
        <f>MIN('2. СФ-МАШ-4 №1'!D11,IF('2. СФ-МАШ-4 №1'!K11=МДанные!$D$135,0,'2. СФ-МАШ-4 №1'!K11))</f>
        <v>0</v>
      </c>
      <c r="V11" s="100">
        <f t="shared" si="0"/>
        <v>0</v>
      </c>
      <c r="W11" s="101">
        <f>MIN('3. СФ-МАШ-4 №2'!D11,IF('3. СФ-МАШ-4 №2'!K11=МДанные!$D$135,0,'3. СФ-МАШ-4 №2'!K11))</f>
        <v>0</v>
      </c>
      <c r="X11" s="101">
        <f t="shared" si="1"/>
        <v>0</v>
      </c>
      <c r="Y11" s="102">
        <f>MIN('4. СФ-МАШ-4 №3'!D11,IF('4. СФ-МАШ-4 №3'!K11=МДанные!$D$135,0,'4. СФ-МАШ-4 №3'!K11))</f>
        <v>0</v>
      </c>
      <c r="Z11" s="102">
        <f t="shared" si="2"/>
        <v>0</v>
      </c>
      <c r="AA11" s="103">
        <f>MIN('5. СФ-МАШ-4 №4'!D11,IF('5. СФ-МАШ-4 №4'!K11=МДанные!$D$135,0,'5. СФ-МАШ-4 №4'!K11))</f>
        <v>0</v>
      </c>
      <c r="AB11" s="367">
        <f t="shared" si="3"/>
        <v>0</v>
      </c>
      <c r="AC11" s="56" t="s">
        <v>49</v>
      </c>
      <c r="AD11" s="100">
        <f t="shared" si="4"/>
        <v>159</v>
      </c>
      <c r="AE11" s="100">
        <f>INT((d1I-MAX(2-'2. СФ-МАШ-4 №1'!$D$92,0)*15-(5-P11-'2. СФ-МАШ-4 №1'!I11)*('2. СФ-МАШ-4 №1'!F11+'2. СФ-МАШ-4 №1'!G11))/'2. СФ-МАШ-4 №1'!F11)+(5-P11-'2. СФ-МАШ-4 №1'!I11)</f>
        <v>527</v>
      </c>
      <c r="AF11" s="100">
        <f>INT((N1u-Nix*N1i)/(Nix-1))</f>
        <v>0</v>
      </c>
      <c r="AG11" s="101">
        <f t="shared" si="5"/>
        <v>159</v>
      </c>
      <c r="AH11" s="101">
        <f>INT((d2I-MAX(2-'3. СФ-МАШ-4 №2'!$D$92,0)*15-(5-Q11-'3. СФ-МАШ-4 №2'!I11)*('3. СФ-МАШ-4 №2'!F11+'3. СФ-МАШ-4 №2'!G11))/'3. СФ-МАШ-4 №2'!F11)+(5-Q11-'3. СФ-МАШ-4 №2'!I11)</f>
        <v>527</v>
      </c>
      <c r="AI11" s="101">
        <f>INT((N2u-Nix*N2i)/(Nix-1))</f>
        <v>0</v>
      </c>
      <c r="AJ11" s="102">
        <f t="shared" si="6"/>
        <v>159</v>
      </c>
      <c r="AK11" s="102">
        <f>INT((d3I-MAX(2-'4. СФ-МАШ-4 №3'!$D$92,0)*15-(5-R11-'4. СФ-МАШ-4 №3'!I11)*('4. СФ-МАШ-4 №3'!F11+'4. СФ-МАШ-4 №3'!G11))/'4. СФ-МАШ-4 №3'!F11)+(5-R11-'4. СФ-МАШ-4 №3'!I11)</f>
        <v>527</v>
      </c>
      <c r="AL11" s="102">
        <f>INT((N3u-Nix*N3i)/(Nix-1))</f>
        <v>0</v>
      </c>
      <c r="AM11" s="103">
        <f t="shared" si="7"/>
        <v>159</v>
      </c>
      <c r="AN11" s="103">
        <f>INT((d4I-MAX(2-'5. СФ-МАШ-4 №4'!$D$92,0)*15-(5-S11-'5. СФ-МАШ-4 №4'!I11)*('5. СФ-МАШ-4 №4'!F11+'5. СФ-МАШ-4 №4'!G11))/'5. СФ-МАШ-4 №4'!F11)+(5-S11-'5. СФ-МАШ-4 №4'!I11)</f>
        <v>527</v>
      </c>
      <c r="AO11" s="103">
        <f>INT((N4u-Nix*N4i)/(Nix-1))</f>
        <v>0</v>
      </c>
    </row>
    <row r="12" spans="2:41" x14ac:dyDescent="0.25">
      <c r="B12">
        <v>12</v>
      </c>
      <c r="C12" s="49"/>
      <c r="D12" s="56" t="s">
        <v>50</v>
      </c>
      <c r="E12" s="57">
        <v>0.3</v>
      </c>
      <c r="F12" s="57">
        <v>3.5</v>
      </c>
      <c r="J12" s="57">
        <v>0</v>
      </c>
      <c r="K12" s="57">
        <v>0</v>
      </c>
      <c r="L12" s="66">
        <f>INT(МДанные!$D$138/M12)</f>
        <v>159</v>
      </c>
      <c r="M12" s="70">
        <v>1</v>
      </c>
      <c r="N12" s="56" t="s">
        <v>50</v>
      </c>
      <c r="O12" s="57">
        <v>6</v>
      </c>
      <c r="P12" s="100">
        <f>P11+'2. СФ-МАШ-4 №1'!I11</f>
        <v>0</v>
      </c>
      <c r="Q12" s="101">
        <f>Q11+'3. СФ-МАШ-4 №2'!I11</f>
        <v>0</v>
      </c>
      <c r="R12" s="102">
        <f>R11+'4. СФ-МАШ-4 №3'!I11</f>
        <v>0</v>
      </c>
      <c r="S12" s="103">
        <f>S11+'5. СФ-МАШ-4 №4'!I11</f>
        <v>0</v>
      </c>
      <c r="U12" s="100">
        <f>MIN('2. СФ-МАШ-4 №1'!D12,IF('2. СФ-МАШ-4 №1'!K12=МДанные!$D$135,0,'2. СФ-МАШ-4 №1'!K12))</f>
        <v>0</v>
      </c>
      <c r="V12" s="100">
        <f t="shared" si="0"/>
        <v>0</v>
      </c>
      <c r="W12" s="101">
        <f>MIN('3. СФ-МАШ-4 №2'!D12,IF('3. СФ-МАШ-4 №2'!K12=МДанные!$D$135,0,'3. СФ-МАШ-4 №2'!K12))</f>
        <v>0</v>
      </c>
      <c r="X12" s="101">
        <f t="shared" si="1"/>
        <v>0</v>
      </c>
      <c r="Y12" s="102">
        <f>MIN('4. СФ-МАШ-4 №3'!D12,IF('4. СФ-МАШ-4 №3'!K12=МДанные!$D$135,0,'4. СФ-МАШ-4 №3'!K12))</f>
        <v>0</v>
      </c>
      <c r="Z12" s="102">
        <f t="shared" si="2"/>
        <v>0</v>
      </c>
      <c r="AA12" s="103">
        <f>MIN('5. СФ-МАШ-4 №4'!D12,IF('5. СФ-МАШ-4 №4'!K12=МДанные!$D$135,0,'5. СФ-МАШ-4 №4'!K12))</f>
        <v>0</v>
      </c>
      <c r="AB12" s="367">
        <f t="shared" si="3"/>
        <v>0</v>
      </c>
      <c r="AC12" s="56" t="s">
        <v>50</v>
      </c>
      <c r="AD12" s="100">
        <f t="shared" si="4"/>
        <v>159</v>
      </c>
      <c r="AE12" s="100">
        <f>INT((d1I-(5-P12-'2. СФ-МАШ-4 №1'!I12)*('2. СФ-МАШ-4 №1'!F12+'2. СФ-МАШ-4 №1'!G12))/'2. СФ-МАШ-4 №1'!F12)+(5-P12-'2. СФ-МАШ-4 №1'!I12)</f>
        <v>720</v>
      </c>
      <c r="AF12" s="100"/>
      <c r="AG12" s="101">
        <f t="shared" si="5"/>
        <v>159</v>
      </c>
      <c r="AH12" s="101">
        <f>INT((d2I-(5-Q12-'3. СФ-МАШ-4 №2'!I12)*('3. СФ-МАШ-4 №2'!F12+'3. СФ-МАШ-4 №2'!G12))/'3. СФ-МАШ-4 №2'!F12)+(5-Q12-'3. СФ-МАШ-4 №2'!I12)</f>
        <v>720</v>
      </c>
      <c r="AI12" s="101"/>
      <c r="AJ12" s="102">
        <f t="shared" si="6"/>
        <v>159</v>
      </c>
      <c r="AK12" s="102">
        <f>INT((d3I-(5-R12-'4. СФ-МАШ-4 №3'!I12)*('4. СФ-МАШ-4 №3'!F12+'4. СФ-МАШ-4 №3'!G12))/'4. СФ-МАШ-4 №3'!F12)+(5-R12-'4. СФ-МАШ-4 №3'!I12)</f>
        <v>720</v>
      </c>
      <c r="AL12" s="102"/>
      <c r="AM12" s="103">
        <f t="shared" si="7"/>
        <v>159</v>
      </c>
      <c r="AN12" s="103">
        <f>INT((d4I-(5-S12-'5. СФ-МАШ-4 №4'!I12)*('5. СФ-МАШ-4 №4'!F12+'5. СФ-МАШ-4 №4'!G12))/'5. СФ-МАШ-4 №4'!F12)+(5-S12-'5. СФ-МАШ-4 №4'!I12)</f>
        <v>720</v>
      </c>
      <c r="AO12" s="103"/>
    </row>
    <row r="13" spans="2:41" x14ac:dyDescent="0.25">
      <c r="B13">
        <v>13</v>
      </c>
      <c r="C13" s="49"/>
      <c r="D13" s="56" t="s">
        <v>51</v>
      </c>
      <c r="E13" s="57">
        <v>0.3</v>
      </c>
      <c r="F13" s="57">
        <v>3.5</v>
      </c>
      <c r="J13" s="57">
        <v>0.05</v>
      </c>
      <c r="K13" s="57">
        <v>0.13</v>
      </c>
      <c r="L13" s="66">
        <f>INT(МДанные!$D$138/M13)</f>
        <v>159</v>
      </c>
      <c r="M13" s="70">
        <v>1</v>
      </c>
      <c r="N13" s="56" t="s">
        <v>51</v>
      </c>
      <c r="O13" s="57">
        <v>7</v>
      </c>
      <c r="P13" s="100">
        <f>P12+'2. СФ-МАШ-4 №1'!I12</f>
        <v>0</v>
      </c>
      <c r="Q13" s="101">
        <f>Q12+'3. СФ-МАШ-4 №2'!I12</f>
        <v>0</v>
      </c>
      <c r="R13" s="102">
        <f>R12+'4. СФ-МАШ-4 №3'!I12</f>
        <v>0</v>
      </c>
      <c r="S13" s="103">
        <f>S12+'5. СФ-МАШ-4 №4'!I12</f>
        <v>0</v>
      </c>
      <c r="U13" s="100">
        <f>MIN('2. СФ-МАШ-4 №1'!D13,IF('2. СФ-МАШ-4 №1'!K13=МДанные!$D$135,0,'2. СФ-МАШ-4 №1'!K13))</f>
        <v>0</v>
      </c>
      <c r="V13" s="100">
        <f t="shared" si="0"/>
        <v>0</v>
      </c>
      <c r="W13" s="101">
        <f>MIN('3. СФ-МАШ-4 №2'!D13,IF('3. СФ-МАШ-4 №2'!K13=МДанные!$D$135,0,'3. СФ-МАШ-4 №2'!K13))</f>
        <v>0</v>
      </c>
      <c r="X13" s="101">
        <f t="shared" si="1"/>
        <v>0</v>
      </c>
      <c r="Y13" s="102">
        <f>MIN('4. СФ-МАШ-4 №3'!D13,IF('4. СФ-МАШ-4 №3'!K13=МДанные!$D$135,0,'4. СФ-МАШ-4 №3'!K13))</f>
        <v>0</v>
      </c>
      <c r="Z13" s="102">
        <f t="shared" si="2"/>
        <v>0</v>
      </c>
      <c r="AA13" s="103">
        <f>MIN('5. СФ-МАШ-4 №4'!D13,IF('5. СФ-МАШ-4 №4'!K13=МДанные!$D$135,0,'5. СФ-МАШ-4 №4'!K13))</f>
        <v>0</v>
      </c>
      <c r="AB13" s="367">
        <f t="shared" si="3"/>
        <v>0</v>
      </c>
      <c r="AC13" s="56" t="s">
        <v>51</v>
      </c>
      <c r="AD13" s="100">
        <f t="shared" si="4"/>
        <v>159</v>
      </c>
      <c r="AE13" s="100">
        <f>INT((d1I-MAX(2-'2. СФ-МАШ-4 №1'!$D$92,0)*15-(5-P13-'2. СФ-МАШ-4 №1'!I13)*('2. СФ-МАШ-4 №1'!F13+'2. СФ-МАШ-4 №1'!G13))/'2. СФ-МАШ-4 №1'!F13)+(5-P13-'2. СФ-МАШ-4 №1'!I13)</f>
        <v>527</v>
      </c>
      <c r="AF13" s="100">
        <f>INT((N1u-Nix*N1i)/(Nix-1))</f>
        <v>0</v>
      </c>
      <c r="AG13" s="101">
        <f t="shared" si="5"/>
        <v>159</v>
      </c>
      <c r="AH13" s="101">
        <f>INT((d2I-MAX(2-'3. СФ-МАШ-4 №2'!$D$92,0)*15-(5-Q13-'3. СФ-МАШ-4 №2'!I13)*('3. СФ-МАШ-4 №2'!F13+'3. СФ-МАШ-4 №2'!G13))/'3. СФ-МАШ-4 №2'!F13)+(5-Q13-'3. СФ-МАШ-4 №2'!I13)</f>
        <v>527</v>
      </c>
      <c r="AI13" s="101">
        <f>INT((N2u-Nix*N2i)/(Nix-1))</f>
        <v>0</v>
      </c>
      <c r="AJ13" s="102">
        <f t="shared" si="6"/>
        <v>159</v>
      </c>
      <c r="AK13" s="102">
        <f>INT((d3I-MAX(2-'4. СФ-МАШ-4 №3'!$D$92,0)*15-(5-R13-'4. СФ-МАШ-4 №3'!I13)*('4. СФ-МАШ-4 №3'!F13+'4. СФ-МАШ-4 №3'!G13))/'4. СФ-МАШ-4 №3'!F13)+(5-R13-'4. СФ-МАШ-4 №3'!I13)</f>
        <v>527</v>
      </c>
      <c r="AL13" s="102">
        <f>INT((N3u-Nix*N3i)/(Nix-1))</f>
        <v>0</v>
      </c>
      <c r="AM13" s="103">
        <f t="shared" si="7"/>
        <v>159</v>
      </c>
      <c r="AN13" s="103">
        <f>INT((d4I-MAX(2-'5. СФ-МАШ-4 №4'!$D$92,0)*15-(5-S13-'5. СФ-МАШ-4 №4'!I13)*('5. СФ-МАШ-4 №4'!F13+'5. СФ-МАШ-4 №4'!G13))/'5. СФ-МАШ-4 №4'!F13)+(5-S13-'5. СФ-МАШ-4 №4'!I13)</f>
        <v>527</v>
      </c>
      <c r="AO13" s="103">
        <f>INT((N4u-Nix*N4i)/(Nix-1))</f>
        <v>0</v>
      </c>
    </row>
    <row r="14" spans="2:41" x14ac:dyDescent="0.25">
      <c r="B14">
        <v>14</v>
      </c>
      <c r="C14" s="49"/>
      <c r="D14" s="56" t="s">
        <v>52</v>
      </c>
      <c r="E14" s="57">
        <v>0.3</v>
      </c>
      <c r="F14" s="57">
        <v>3.5</v>
      </c>
      <c r="J14" s="57">
        <v>0</v>
      </c>
      <c r="K14" s="57">
        <v>0</v>
      </c>
      <c r="L14" s="66">
        <f>INT(МДанные!$D$138/M14)</f>
        <v>159</v>
      </c>
      <c r="M14" s="70">
        <v>1</v>
      </c>
      <c r="N14" s="56" t="s">
        <v>52</v>
      </c>
      <c r="O14" s="57">
        <v>8</v>
      </c>
      <c r="P14" s="100">
        <f>P13+'2. СФ-МАШ-4 №1'!I13</f>
        <v>0</v>
      </c>
      <c r="Q14" s="101">
        <f>Q13+'3. СФ-МАШ-4 №2'!I13</f>
        <v>0</v>
      </c>
      <c r="R14" s="102">
        <f>R13+'4. СФ-МАШ-4 №3'!I13</f>
        <v>0</v>
      </c>
      <c r="S14" s="103">
        <f>S13+'5. СФ-МАШ-4 №4'!I13</f>
        <v>0</v>
      </c>
      <c r="U14" s="100">
        <f>MIN('2. СФ-МАШ-4 №1'!D14,IF('2. СФ-МАШ-4 №1'!K14=МДанные!$D$135,0,'2. СФ-МАШ-4 №1'!K14))</f>
        <v>0</v>
      </c>
      <c r="V14" s="100">
        <f t="shared" si="0"/>
        <v>0</v>
      </c>
      <c r="W14" s="101">
        <f>MIN('3. СФ-МАШ-4 №2'!D14,IF('3. СФ-МАШ-4 №2'!K14=МДанные!$D$135,0,'3. СФ-МАШ-4 №2'!K14))</f>
        <v>0</v>
      </c>
      <c r="X14" s="101">
        <f t="shared" si="1"/>
        <v>0</v>
      </c>
      <c r="Y14" s="102">
        <f>MIN('4. СФ-МАШ-4 №3'!D14,IF('4. СФ-МАШ-4 №3'!K14=МДанные!$D$135,0,'4. СФ-МАШ-4 №3'!K14))</f>
        <v>0</v>
      </c>
      <c r="Z14" s="102">
        <f t="shared" si="2"/>
        <v>0</v>
      </c>
      <c r="AA14" s="103">
        <f>MIN('5. СФ-МАШ-4 №4'!D14,IF('5. СФ-МАШ-4 №4'!K14=МДанные!$D$135,0,'5. СФ-МАШ-4 №4'!K14))</f>
        <v>0</v>
      </c>
      <c r="AB14" s="367">
        <f t="shared" si="3"/>
        <v>0</v>
      </c>
      <c r="AC14" s="56" t="s">
        <v>52</v>
      </c>
      <c r="AD14" s="100">
        <f t="shared" si="4"/>
        <v>159</v>
      </c>
      <c r="AE14" s="100">
        <f>INT((d1I-(5-P14-'2. СФ-МАШ-4 №1'!I14)*('2. СФ-МАШ-4 №1'!F14+'2. СФ-МАШ-4 №1'!G14))/'2. СФ-МАШ-4 №1'!F14)+(5-P14-'2. СФ-МАШ-4 №1'!I14)</f>
        <v>720</v>
      </c>
      <c r="AF14" s="100"/>
      <c r="AG14" s="101">
        <f t="shared" si="5"/>
        <v>159</v>
      </c>
      <c r="AH14" s="101">
        <f>INT((d2I-(5-Q14-'3. СФ-МАШ-4 №2'!I14)*('3. СФ-МАШ-4 №2'!F14+'3. СФ-МАШ-4 №2'!G14))/'3. СФ-МАШ-4 №2'!F14)+(5-Q14-'3. СФ-МАШ-4 №2'!I14)</f>
        <v>720</v>
      </c>
      <c r="AI14" s="101"/>
      <c r="AJ14" s="102">
        <f t="shared" si="6"/>
        <v>159</v>
      </c>
      <c r="AK14" s="102">
        <f>INT((d3I-(5-R14-'4. СФ-МАШ-4 №3'!I14)*('4. СФ-МАШ-4 №3'!F14+'4. СФ-МАШ-4 №3'!G14))/'4. СФ-МАШ-4 №3'!F14)+(5-R14-'4. СФ-МАШ-4 №3'!I14)</f>
        <v>720</v>
      </c>
      <c r="AL14" s="102"/>
      <c r="AM14" s="103">
        <f t="shared" si="7"/>
        <v>159</v>
      </c>
      <c r="AN14" s="103">
        <f>INT((d4I-(5-S14-'5. СФ-МАШ-4 №4'!I14)*('5. СФ-МАШ-4 №4'!F14+'5. СФ-МАШ-4 №4'!G14))/'5. СФ-МАШ-4 №4'!F14)+(5-S14-'5. СФ-МАШ-4 №4'!I14)</f>
        <v>720</v>
      </c>
      <c r="AO14" s="103"/>
    </row>
    <row r="15" spans="2:41" x14ac:dyDescent="0.25">
      <c r="B15">
        <v>15</v>
      </c>
      <c r="C15" s="49"/>
      <c r="D15" s="56" t="s">
        <v>53</v>
      </c>
      <c r="E15" s="57">
        <v>0.3</v>
      </c>
      <c r="F15" s="57">
        <v>3.5</v>
      </c>
      <c r="J15" s="57">
        <v>0.05</v>
      </c>
      <c r="K15" s="57">
        <v>0.13</v>
      </c>
      <c r="L15" s="66">
        <f>INT(МДанные!$D$138/M15)</f>
        <v>159</v>
      </c>
      <c r="M15" s="70">
        <v>1</v>
      </c>
      <c r="N15" s="56" t="s">
        <v>53</v>
      </c>
      <c r="O15" s="57">
        <v>9</v>
      </c>
      <c r="P15" s="100">
        <f>P14+'2. СФ-МАШ-4 №1'!I14</f>
        <v>0</v>
      </c>
      <c r="Q15" s="101">
        <f>Q14+'3. СФ-МАШ-4 №2'!I14</f>
        <v>0</v>
      </c>
      <c r="R15" s="102">
        <f>R14+'4. СФ-МАШ-4 №3'!I14</f>
        <v>0</v>
      </c>
      <c r="S15" s="103">
        <f>S14+'5. СФ-МАШ-4 №4'!I14</f>
        <v>0</v>
      </c>
      <c r="U15" s="100">
        <f>MIN('2. СФ-МАШ-4 №1'!D15,IF('2. СФ-МАШ-4 №1'!K15=МДанные!$D$135,0,'2. СФ-МАШ-4 №1'!K15))</f>
        <v>0</v>
      </c>
      <c r="V15" s="100">
        <f t="shared" si="0"/>
        <v>0</v>
      </c>
      <c r="W15" s="101">
        <f>MIN('3. СФ-МАШ-4 №2'!D15,IF('3. СФ-МАШ-4 №2'!K15=МДанные!$D$135,0,'3. СФ-МАШ-4 №2'!K15))</f>
        <v>0</v>
      </c>
      <c r="X15" s="101">
        <f t="shared" si="1"/>
        <v>0</v>
      </c>
      <c r="Y15" s="102">
        <f>MIN('4. СФ-МАШ-4 №3'!D15,IF('4. СФ-МАШ-4 №3'!K15=МДанные!$D$135,0,'4. СФ-МАШ-4 №3'!K15))</f>
        <v>0</v>
      </c>
      <c r="Z15" s="102">
        <f t="shared" si="2"/>
        <v>0</v>
      </c>
      <c r="AA15" s="103">
        <f>MIN('5. СФ-МАШ-4 №4'!D15,IF('5. СФ-МАШ-4 №4'!K15=МДанные!$D$135,0,'5. СФ-МАШ-4 №4'!K15))</f>
        <v>0</v>
      </c>
      <c r="AB15" s="367">
        <f t="shared" si="3"/>
        <v>0</v>
      </c>
      <c r="AC15" s="56" t="s">
        <v>53</v>
      </c>
      <c r="AD15" s="100">
        <f t="shared" si="4"/>
        <v>159</v>
      </c>
      <c r="AE15" s="100">
        <f>INT((d1I-MAX(2-'2. СФ-МАШ-4 №1'!$D$92,0)*15-(5-P15-'2. СФ-МАШ-4 №1'!I15)*('2. СФ-МАШ-4 №1'!F15+'2. СФ-МАШ-4 №1'!G15))/'2. СФ-МАШ-4 №1'!F15)+(5-P15-'2. СФ-МАШ-4 №1'!I15)</f>
        <v>527</v>
      </c>
      <c r="AF15" s="100">
        <f>INT((N1u-Nix*N1i)/(Nix-1))</f>
        <v>0</v>
      </c>
      <c r="AG15" s="101">
        <f t="shared" si="5"/>
        <v>159</v>
      </c>
      <c r="AH15" s="101">
        <f>INT((d2I-MAX(2-'3. СФ-МАШ-4 №2'!$D$92,0)*15-(5-Q15-'3. СФ-МАШ-4 №2'!I15)*('3. СФ-МАШ-4 №2'!F15+'3. СФ-МАШ-4 №2'!G15))/'3. СФ-МАШ-4 №2'!F15)+(5-Q15-'3. СФ-МАШ-4 №2'!I15)</f>
        <v>527</v>
      </c>
      <c r="AI15" s="101">
        <f>INT((N2u-Nix*N2i)/(Nix-1))</f>
        <v>0</v>
      </c>
      <c r="AJ15" s="102">
        <f t="shared" si="6"/>
        <v>159</v>
      </c>
      <c r="AK15" s="102">
        <f>INT((d3I-MAX(2-'4. СФ-МАШ-4 №3'!$D$92,0)*15-(5-R15-'4. СФ-МАШ-4 №3'!I15)*('4. СФ-МАШ-4 №3'!F15+'4. СФ-МАШ-4 №3'!G15))/'4. СФ-МАШ-4 №3'!F15)+(5-R15-'4. СФ-МАШ-4 №3'!I15)</f>
        <v>527</v>
      </c>
      <c r="AL15" s="102">
        <f>INT((N3u-Nix*N3i)/(Nix-1))</f>
        <v>0</v>
      </c>
      <c r="AM15" s="103">
        <f t="shared" si="7"/>
        <v>159</v>
      </c>
      <c r="AN15" s="103">
        <f>INT((d4I-MAX(2-'5. СФ-МАШ-4 №4'!$D$92,0)*15-(5-S15-'5. СФ-МАШ-4 №4'!I15)*('5. СФ-МАШ-4 №4'!F15+'5. СФ-МАШ-4 №4'!G15))/'5. СФ-МАШ-4 №4'!F15)+(5-S15-'5. СФ-МАШ-4 №4'!I15)</f>
        <v>527</v>
      </c>
      <c r="AO15" s="103">
        <f>INT((N4u-Nix*N4i)/(Nix-1))</f>
        <v>0</v>
      </c>
    </row>
    <row r="16" spans="2:41" x14ac:dyDescent="0.25">
      <c r="B16">
        <v>16</v>
      </c>
      <c r="C16" s="49"/>
      <c r="D16" s="56" t="s">
        <v>54</v>
      </c>
      <c r="E16" s="57">
        <v>0.3</v>
      </c>
      <c r="F16" s="57">
        <v>3.5</v>
      </c>
      <c r="J16" s="57">
        <v>0</v>
      </c>
      <c r="K16" s="57">
        <v>0</v>
      </c>
      <c r="L16" s="66">
        <f>INT(МДанные!$D$138/M16)</f>
        <v>159</v>
      </c>
      <c r="M16" s="70">
        <v>1</v>
      </c>
      <c r="N16" s="56" t="s">
        <v>54</v>
      </c>
      <c r="O16" s="57">
        <v>10</v>
      </c>
      <c r="P16" s="100">
        <f>P15+'2. СФ-МАШ-4 №1'!I15</f>
        <v>0</v>
      </c>
      <c r="Q16" s="101">
        <f>Q15+'3. СФ-МАШ-4 №2'!I15</f>
        <v>0</v>
      </c>
      <c r="R16" s="102">
        <f>R15+'4. СФ-МАШ-4 №3'!I15</f>
        <v>0</v>
      </c>
      <c r="S16" s="103">
        <f>S15+'5. СФ-МАШ-4 №4'!I15</f>
        <v>0</v>
      </c>
      <c r="U16" s="100">
        <f>MIN('2. СФ-МАШ-4 №1'!D16,IF('2. СФ-МАШ-4 №1'!K16=МДанные!$D$135,0,'2. СФ-МАШ-4 №1'!K16))</f>
        <v>0</v>
      </c>
      <c r="V16" s="100">
        <f t="shared" si="0"/>
        <v>0</v>
      </c>
      <c r="W16" s="101">
        <f>MIN('3. СФ-МАШ-4 №2'!D16,IF('3. СФ-МАШ-4 №2'!K16=МДанные!$D$135,0,'3. СФ-МАШ-4 №2'!K16))</f>
        <v>0</v>
      </c>
      <c r="X16" s="101">
        <f t="shared" si="1"/>
        <v>0</v>
      </c>
      <c r="Y16" s="102">
        <f>MIN('4. СФ-МАШ-4 №3'!D16,IF('4. СФ-МАШ-4 №3'!K16=МДанные!$D$135,0,'4. СФ-МАШ-4 №3'!K16))</f>
        <v>0</v>
      </c>
      <c r="Z16" s="102">
        <f t="shared" si="2"/>
        <v>0</v>
      </c>
      <c r="AA16" s="103">
        <f>MIN('5. СФ-МАШ-4 №4'!D16,IF('5. СФ-МАШ-4 №4'!K16=МДанные!$D$135,0,'5. СФ-МАШ-4 №4'!K16))</f>
        <v>0</v>
      </c>
      <c r="AB16" s="367">
        <f t="shared" si="3"/>
        <v>0</v>
      </c>
      <c r="AC16" s="56" t="s">
        <v>54</v>
      </c>
      <c r="AD16" s="100">
        <f t="shared" si="4"/>
        <v>159</v>
      </c>
      <c r="AE16" s="100">
        <f>INT((d1I-(5-P16-'2. СФ-МАШ-4 №1'!I16)*('2. СФ-МАШ-4 №1'!F16+'2. СФ-МАШ-4 №1'!G16))/'2. СФ-МАШ-4 №1'!F16)+(5-P16-'2. СФ-МАШ-4 №1'!I16)</f>
        <v>720</v>
      </c>
      <c r="AF16" s="100"/>
      <c r="AG16" s="101">
        <f t="shared" si="5"/>
        <v>159</v>
      </c>
      <c r="AH16" s="101">
        <f>INT((d2I-(5-Q16-'3. СФ-МАШ-4 №2'!I16)*('3. СФ-МАШ-4 №2'!F16+'3. СФ-МАШ-4 №2'!G16))/'3. СФ-МАШ-4 №2'!F16)+(5-Q16-'3. СФ-МАШ-4 №2'!I16)</f>
        <v>720</v>
      </c>
      <c r="AI16" s="101"/>
      <c r="AJ16" s="102">
        <f t="shared" si="6"/>
        <v>159</v>
      </c>
      <c r="AK16" s="102">
        <f>INT((d3I-(5-R16-'4. СФ-МАШ-4 №3'!I16)*('4. СФ-МАШ-4 №3'!F16+'4. СФ-МАШ-4 №3'!G16))/'4. СФ-МАШ-4 №3'!F16)+(5-R16-'4. СФ-МАШ-4 №3'!I16)</f>
        <v>720</v>
      </c>
      <c r="AL16" s="102"/>
      <c r="AM16" s="103">
        <f t="shared" si="7"/>
        <v>159</v>
      </c>
      <c r="AN16" s="103">
        <f>INT((d4I-(5-S16-'5. СФ-МАШ-4 №4'!I16)*('5. СФ-МАШ-4 №4'!F16+'5. СФ-МАШ-4 №4'!G16))/'5. СФ-МАШ-4 №4'!F16)+(5-S16-'5. СФ-МАШ-4 №4'!I16)</f>
        <v>720</v>
      </c>
      <c r="AO16" s="103"/>
    </row>
    <row r="17" spans="2:41" x14ac:dyDescent="0.25">
      <c r="B17">
        <v>17</v>
      </c>
      <c r="C17" s="49"/>
      <c r="D17" s="56" t="s">
        <v>55</v>
      </c>
      <c r="E17" s="57">
        <v>0.3</v>
      </c>
      <c r="F17" s="57">
        <v>3.5</v>
      </c>
      <c r="J17" s="57">
        <v>0.05</v>
      </c>
      <c r="K17" s="57">
        <v>0.13</v>
      </c>
      <c r="L17" s="66">
        <f>INT(МДанные!$D$138/M17)</f>
        <v>159</v>
      </c>
      <c r="M17" s="70">
        <v>1</v>
      </c>
      <c r="N17" s="56" t="s">
        <v>55</v>
      </c>
      <c r="O17" s="57">
        <v>11</v>
      </c>
      <c r="P17" s="100">
        <f>P16+'2. СФ-МАШ-4 №1'!I16</f>
        <v>0</v>
      </c>
      <c r="Q17" s="101">
        <f>Q16+'3. СФ-МАШ-4 №2'!I16</f>
        <v>0</v>
      </c>
      <c r="R17" s="102">
        <f>R16+'4. СФ-МАШ-4 №3'!I16</f>
        <v>0</v>
      </c>
      <c r="S17" s="103">
        <f>S16+'5. СФ-МАШ-4 №4'!I16</f>
        <v>0</v>
      </c>
      <c r="U17" s="100">
        <f>MIN('2. СФ-МАШ-4 №1'!D17,IF('2. СФ-МАШ-4 №1'!K17=МДанные!$D$135,0,'2. СФ-МАШ-4 №1'!K17))</f>
        <v>0</v>
      </c>
      <c r="V17" s="100">
        <f t="shared" si="0"/>
        <v>0</v>
      </c>
      <c r="W17" s="101">
        <f>MIN('3. СФ-МАШ-4 №2'!D17,IF('3. СФ-МАШ-4 №2'!K17=МДанные!$D$135,0,'3. СФ-МАШ-4 №2'!K17))</f>
        <v>0</v>
      </c>
      <c r="X17" s="101">
        <f t="shared" si="1"/>
        <v>0</v>
      </c>
      <c r="Y17" s="102">
        <f>MIN('4. СФ-МАШ-4 №3'!D17,IF('4. СФ-МАШ-4 №3'!K17=МДанные!$D$135,0,'4. СФ-МАШ-4 №3'!K17))</f>
        <v>0</v>
      </c>
      <c r="Z17" s="102">
        <f t="shared" si="2"/>
        <v>0</v>
      </c>
      <c r="AA17" s="103">
        <f>MIN('5. СФ-МАШ-4 №4'!D17,IF('5. СФ-МАШ-4 №4'!K17=МДанные!$D$135,0,'5. СФ-МАШ-4 №4'!K17))</f>
        <v>0</v>
      </c>
      <c r="AB17" s="367">
        <f t="shared" si="3"/>
        <v>0</v>
      </c>
      <c r="AC17" s="56" t="s">
        <v>55</v>
      </c>
      <c r="AD17" s="100">
        <f t="shared" si="4"/>
        <v>159</v>
      </c>
      <c r="AE17" s="100">
        <f>INT((d1I-MAX(2-'2. СФ-МАШ-4 №1'!$D$92,0)*15-(5-P17-'2. СФ-МАШ-4 №1'!I17)*('2. СФ-МАШ-4 №1'!F17+'2. СФ-МАШ-4 №1'!G17))/'2. СФ-МАШ-4 №1'!F17)+(5-P17-'2. СФ-МАШ-4 №1'!I17)</f>
        <v>527</v>
      </c>
      <c r="AF17" s="100">
        <f>INT((N1u-Nix*N1i)/(Nix-1))</f>
        <v>0</v>
      </c>
      <c r="AG17" s="101">
        <f t="shared" si="5"/>
        <v>159</v>
      </c>
      <c r="AH17" s="101">
        <f>INT((d2I-MAX(2-'3. СФ-МАШ-4 №2'!$D$92,0)*15-(5-Q17-'3. СФ-МАШ-4 №2'!I17)*('3. СФ-МАШ-4 №2'!F17+'3. СФ-МАШ-4 №2'!G17))/'3. СФ-МАШ-4 №2'!F17)+(5-Q17-'3. СФ-МАШ-4 №2'!I17)</f>
        <v>527</v>
      </c>
      <c r="AI17" s="101">
        <f>INT((N2u-Nix*N2i)/(Nix-1))</f>
        <v>0</v>
      </c>
      <c r="AJ17" s="102">
        <f t="shared" si="6"/>
        <v>159</v>
      </c>
      <c r="AK17" s="102">
        <f>INT((d3I-MAX(2-'4. СФ-МАШ-4 №3'!$D$92,0)*15-(5-R17-'4. СФ-МАШ-4 №3'!I17)*('4. СФ-МАШ-4 №3'!F17+'4. СФ-МАШ-4 №3'!G17))/'4. СФ-МАШ-4 №3'!F17)+(5-R17-'4. СФ-МАШ-4 №3'!I17)</f>
        <v>527</v>
      </c>
      <c r="AL17" s="102">
        <f>INT((N3u-Nix*N3i)/(Nix-1))</f>
        <v>0</v>
      </c>
      <c r="AM17" s="103">
        <f t="shared" si="7"/>
        <v>159</v>
      </c>
      <c r="AN17" s="103">
        <f>INT((d4I-MAX(2-'5. СФ-МАШ-4 №4'!$D$92,0)*15-(5-S17-'5. СФ-МАШ-4 №4'!I17)*('5. СФ-МАШ-4 №4'!F17+'5. СФ-МАШ-4 №4'!G17))/'5. СФ-МАШ-4 №4'!F17)+(5-S17-'5. СФ-МАШ-4 №4'!I17)</f>
        <v>527</v>
      </c>
      <c r="AO17" s="103">
        <f>INT((N4u-Nix*N4i)/(Nix-1))</f>
        <v>0</v>
      </c>
    </row>
    <row r="18" spans="2:41" x14ac:dyDescent="0.25">
      <c r="B18">
        <v>18</v>
      </c>
      <c r="C18" s="49"/>
      <c r="D18" s="56" t="s">
        <v>56</v>
      </c>
      <c r="E18" s="57">
        <v>2</v>
      </c>
      <c r="F18" s="57">
        <v>6.5</v>
      </c>
      <c r="J18" s="57">
        <v>0.05</v>
      </c>
      <c r="K18" s="57">
        <v>0.13</v>
      </c>
      <c r="L18" s="66">
        <f>INT(МДанные!$D$138/M18)</f>
        <v>159</v>
      </c>
      <c r="M18" s="70">
        <v>1</v>
      </c>
      <c r="N18" s="56" t="s">
        <v>56</v>
      </c>
      <c r="O18" s="57">
        <v>1</v>
      </c>
      <c r="P18" s="100">
        <v>0</v>
      </c>
      <c r="Q18" s="101">
        <v>0</v>
      </c>
      <c r="R18" s="102">
        <v>0</v>
      </c>
      <c r="S18" s="103">
        <v>0</v>
      </c>
      <c r="U18" s="100">
        <f>MIN('2. СФ-МАШ-4 №1'!D18,IF('2. СФ-МАШ-4 №1'!K18=МДанные!$D$135,0,'2. СФ-МАШ-4 №1'!K18))</f>
        <v>0</v>
      </c>
      <c r="V18" s="100">
        <f t="shared" si="0"/>
        <v>0</v>
      </c>
      <c r="W18" s="101">
        <f>MIN('3. СФ-МАШ-4 №2'!D18,IF('3. СФ-МАШ-4 №2'!K18=МДанные!$D$135,0,'3. СФ-МАШ-4 №2'!K18))</f>
        <v>0</v>
      </c>
      <c r="X18" s="101">
        <f t="shared" si="1"/>
        <v>0</v>
      </c>
      <c r="Y18" s="102">
        <f>MIN('4. СФ-МАШ-4 №3'!D18,IF('4. СФ-МАШ-4 №3'!K18=МДанные!$D$135,0,'4. СФ-МАШ-4 №3'!K18))</f>
        <v>0</v>
      </c>
      <c r="Z18" s="102">
        <f t="shared" si="2"/>
        <v>0</v>
      </c>
      <c r="AA18" s="103">
        <f>MIN('5. СФ-МАШ-4 №4'!D18,IF('5. СФ-МАШ-4 №4'!K18=МДанные!$D$135,0,'5. СФ-МАШ-4 №4'!K18))</f>
        <v>0</v>
      </c>
      <c r="AB18" s="367">
        <f t="shared" si="3"/>
        <v>0</v>
      </c>
      <c r="AC18" s="56" t="s">
        <v>56</v>
      </c>
      <c r="AD18" s="100">
        <f t="shared" si="4"/>
        <v>159</v>
      </c>
      <c r="AE18" s="100">
        <f>INT((d1I-(5-P18-'2. СФ-МАШ-4 №1'!I18)*('2. СФ-МАШ-4 №1'!F18+'2. СФ-МАШ-4 №1'!G18))/'2. СФ-МАШ-4 №1'!F18)+(5-P18-'2. СФ-МАШ-4 №1'!I18)</f>
        <v>100</v>
      </c>
      <c r="AF18" s="100"/>
      <c r="AG18" s="101">
        <f t="shared" si="5"/>
        <v>159</v>
      </c>
      <c r="AH18" s="101">
        <f>INT((d2I-(5-Q18-'3. СФ-МАШ-4 №2'!I18)*('3. СФ-МАШ-4 №2'!F18+'3. СФ-МАШ-4 №2'!G18))/'3. СФ-МАШ-4 №2'!F18)+(5-Q18-'3. СФ-МАШ-4 №2'!I18)</f>
        <v>100</v>
      </c>
      <c r="AI18" s="101"/>
      <c r="AJ18" s="102">
        <f t="shared" si="6"/>
        <v>159</v>
      </c>
      <c r="AK18" s="102">
        <f>INT((d3I-(5-R18-'4. СФ-МАШ-4 №3'!I18)*('4. СФ-МАШ-4 №3'!F18+'4. СФ-МАШ-4 №3'!G18))/'4. СФ-МАШ-4 №3'!F18)+(5-R18-'4. СФ-МАШ-4 №3'!I18)</f>
        <v>100</v>
      </c>
      <c r="AL18" s="102"/>
      <c r="AM18" s="103">
        <f t="shared" si="7"/>
        <v>159</v>
      </c>
      <c r="AN18" s="103">
        <f>INT((d4I-(5-S18-'5. СФ-МАШ-4 №4'!I18)*('5. СФ-МАШ-4 №4'!F18+'5. СФ-МАШ-4 №4'!G18))/'5. СФ-МАШ-4 №4'!F18)+(5-S18-'5. СФ-МАШ-4 №4'!I18)</f>
        <v>100</v>
      </c>
      <c r="AO18" s="103"/>
    </row>
    <row r="19" spans="2:41" x14ac:dyDescent="0.25">
      <c r="B19">
        <v>19</v>
      </c>
      <c r="C19" s="49"/>
      <c r="D19" s="56" t="s">
        <v>57</v>
      </c>
      <c r="E19" s="57">
        <v>0.33</v>
      </c>
      <c r="F19" s="57">
        <v>3.2</v>
      </c>
      <c r="J19" s="57">
        <v>0</v>
      </c>
      <c r="K19" s="57">
        <v>0</v>
      </c>
      <c r="L19" s="66">
        <f>INT(МДанные!$D$139/M19)</f>
        <v>99</v>
      </c>
      <c r="M19" s="70">
        <v>1</v>
      </c>
      <c r="N19" s="56" t="s">
        <v>57</v>
      </c>
      <c r="O19" s="57">
        <v>0</v>
      </c>
      <c r="P19" s="100"/>
      <c r="Q19" s="101"/>
      <c r="R19" s="102"/>
      <c r="S19" s="103"/>
      <c r="U19" s="100">
        <f>MIN('2. СФ-МАШ-4 №1'!D19,IF('2. СФ-МАШ-4 №1'!K19=МДанные!$D$135,0,'2. СФ-МАШ-4 №1'!K19))</f>
        <v>0</v>
      </c>
      <c r="V19" s="100">
        <f t="shared" si="0"/>
        <v>0</v>
      </c>
      <c r="W19" s="101">
        <f>MIN('3. СФ-МАШ-4 №2'!D19,IF('3. СФ-МАШ-4 №2'!K19=МДанные!$D$135,0,'3. СФ-МАШ-4 №2'!K19))</f>
        <v>0</v>
      </c>
      <c r="X19" s="101">
        <f t="shared" si="1"/>
        <v>0</v>
      </c>
      <c r="Y19" s="102">
        <f>MIN('4. СФ-МАШ-4 №3'!D19,IF('4. СФ-МАШ-4 №3'!K19=МДанные!$D$135,0,'4. СФ-МАШ-4 №3'!K19))</f>
        <v>0</v>
      </c>
      <c r="Z19" s="102">
        <f t="shared" si="2"/>
        <v>0</v>
      </c>
      <c r="AA19" s="103">
        <f>MIN('5. СФ-МАШ-4 №4'!D19,IF('5. СФ-МАШ-4 №4'!K19=МДанные!$D$135,0,'5. СФ-МАШ-4 №4'!K19))</f>
        <v>0</v>
      </c>
      <c r="AB19" s="367">
        <f t="shared" si="3"/>
        <v>0</v>
      </c>
      <c r="AC19" s="56" t="s">
        <v>57</v>
      </c>
      <c r="AD19" s="100">
        <f>Nox-N1os</f>
        <v>99</v>
      </c>
      <c r="AE19" s="100">
        <f>INT(d1I/('2. СФ-МАШ-4 №1'!F19+'2. СФ-МАШ-4 №1'!G19))</f>
        <v>66</v>
      </c>
      <c r="AF19" s="100">
        <f>$D$143*'2. СФ-МАШ-4 №1'!D59-'2. СФ-МАШ-4 №1'!D19</f>
        <v>0</v>
      </c>
      <c r="AG19" s="101">
        <f>Nox-N2os</f>
        <v>99</v>
      </c>
      <c r="AH19" s="101">
        <f>INT(d2I/('3. СФ-МАШ-4 №2'!F19+'3. СФ-МАШ-4 №2'!G19))</f>
        <v>66</v>
      </c>
      <c r="AI19" s="101">
        <f>$D$143*'3. СФ-МАШ-4 №2'!D59-'3. СФ-МАШ-4 №2'!D19</f>
        <v>0</v>
      </c>
      <c r="AJ19" s="102">
        <f>Nox-N3os</f>
        <v>99</v>
      </c>
      <c r="AK19" s="102">
        <f>INT(d1I/('4. СФ-МАШ-4 №3'!F19+'4. СФ-МАШ-4 №3'!G19))</f>
        <v>66</v>
      </c>
      <c r="AL19" s="102">
        <f>$D$143*'4. СФ-МАШ-4 №3'!D59-'4. СФ-МАШ-4 №3'!D19</f>
        <v>0</v>
      </c>
      <c r="AM19" s="103">
        <f>Nox-N4os</f>
        <v>99</v>
      </c>
      <c r="AN19" s="103">
        <f>INT(d1I/('5. СФ-МАШ-4 №4'!F19+'5. СФ-МАШ-4 №4'!G19))</f>
        <v>66</v>
      </c>
      <c r="AO19" s="103">
        <f>$D$143*'5. СФ-МАШ-4 №4'!D59-'5. СФ-МАШ-4 №4'!D19</f>
        <v>0</v>
      </c>
    </row>
    <row r="20" spans="2:41" x14ac:dyDescent="0.25">
      <c r="B20">
        <v>20</v>
      </c>
      <c r="C20" s="49"/>
      <c r="D20" s="56" t="s">
        <v>58</v>
      </c>
      <c r="E20" s="57">
        <v>0.46</v>
      </c>
      <c r="F20" s="57">
        <v>0</v>
      </c>
      <c r="J20" s="57">
        <v>0.05</v>
      </c>
      <c r="K20" s="57">
        <v>0.15</v>
      </c>
      <c r="L20" s="66">
        <f>INT(МДанные!$D$139/M20)</f>
        <v>99</v>
      </c>
      <c r="M20" s="70">
        <v>1</v>
      </c>
      <c r="N20" s="56" t="s">
        <v>58</v>
      </c>
      <c r="O20" s="57">
        <v>0</v>
      </c>
      <c r="P20" s="100"/>
      <c r="Q20" s="101"/>
      <c r="R20" s="102"/>
      <c r="S20" s="103"/>
      <c r="U20" s="100">
        <f>MIN('2. СФ-МАШ-4 №1'!D20,IF('2. СФ-МАШ-4 №1'!K20=МДанные!$D$135,0,'2. СФ-МАШ-4 №1'!K20))</f>
        <v>0</v>
      </c>
      <c r="V20" s="100">
        <f t="shared" si="0"/>
        <v>0</v>
      </c>
      <c r="W20" s="101">
        <f>MIN('3. СФ-МАШ-4 №2'!D20,IF('3. СФ-МАШ-4 №2'!K20=МДанные!$D$135,0,'3. СФ-МАШ-4 №2'!K20))</f>
        <v>0</v>
      </c>
      <c r="X20" s="101">
        <f t="shared" si="1"/>
        <v>0</v>
      </c>
      <c r="Y20" s="102">
        <f>MIN('4. СФ-МАШ-4 №3'!D20,IF('4. СФ-МАШ-4 №3'!K20=МДанные!$D$135,0,'4. СФ-МАШ-4 №3'!K20))</f>
        <v>0</v>
      </c>
      <c r="Z20" s="102">
        <f t="shared" si="2"/>
        <v>0</v>
      </c>
      <c r="AA20" s="103">
        <f>MIN('5. СФ-МАШ-4 №4'!D20,IF('5. СФ-МАШ-4 №4'!K20=МДанные!$D$135,0,'5. СФ-МАШ-4 №4'!K20))</f>
        <v>0</v>
      </c>
      <c r="AB20" s="367">
        <f t="shared" si="3"/>
        <v>0</v>
      </c>
      <c r="AC20" s="56" t="s">
        <v>58</v>
      </c>
      <c r="AD20" s="100">
        <f>MIN(Nox-N1os,Nox-N1om)</f>
        <v>99</v>
      </c>
      <c r="AE20" s="100">
        <f>INT(d1I/('2. СФ-МАШ-4 №1'!F20+'2. СФ-МАШ-4 №1'!G20))</f>
        <v>508</v>
      </c>
      <c r="AF20" s="100"/>
      <c r="AG20" s="101">
        <f>MIN(Nox-N2os,Nox-N2om)</f>
        <v>99</v>
      </c>
      <c r="AH20" s="101">
        <f>INT(d2I/('3. СФ-МАШ-4 №2'!F20+'3. СФ-МАШ-4 №2'!G20))</f>
        <v>508</v>
      </c>
      <c r="AI20" s="101"/>
      <c r="AJ20" s="102">
        <f>MIN(Nox-N3os,Nox-N3om)</f>
        <v>99</v>
      </c>
      <c r="AK20" s="102"/>
      <c r="AL20" s="102"/>
      <c r="AM20" s="103">
        <f>MIN(Nox-N4os,Nox-N4om)</f>
        <v>99</v>
      </c>
      <c r="AN20" s="103"/>
      <c r="AO20" s="103"/>
    </row>
    <row r="21" spans="2:41" x14ac:dyDescent="0.25">
      <c r="B21">
        <v>21</v>
      </c>
      <c r="C21" s="49"/>
      <c r="D21" s="56" t="s">
        <v>59</v>
      </c>
      <c r="E21" s="57">
        <v>0.7</v>
      </c>
      <c r="F21" s="57">
        <v>0</v>
      </c>
      <c r="J21" s="57">
        <v>0.05</v>
      </c>
      <c r="K21" s="57">
        <v>0.15</v>
      </c>
      <c r="L21" s="57">
        <f>INT(МДанные!$D$139/M21)</f>
        <v>49</v>
      </c>
      <c r="M21" s="70">
        <v>2</v>
      </c>
      <c r="N21" s="56" t="s">
        <v>59</v>
      </c>
      <c r="O21" s="57">
        <v>0</v>
      </c>
      <c r="P21" s="100"/>
      <c r="Q21" s="101"/>
      <c r="R21" s="102"/>
      <c r="S21" s="103"/>
      <c r="U21" s="100">
        <f>MIN('2. СФ-МАШ-4 №1'!D21,IF('2. СФ-МАШ-4 №1'!K21=МДанные!$D$135,0,'2. СФ-МАШ-4 №1'!K21))</f>
        <v>0</v>
      </c>
      <c r="V21" s="100">
        <f t="shared" si="0"/>
        <v>0</v>
      </c>
      <c r="W21" s="101">
        <f>MIN('3. СФ-МАШ-4 №2'!D21,IF('3. СФ-МАШ-4 №2'!K21=МДанные!$D$135,0,'3. СФ-МАШ-4 №2'!K21))</f>
        <v>0</v>
      </c>
      <c r="X21" s="101">
        <f t="shared" si="1"/>
        <v>0</v>
      </c>
      <c r="Y21" s="102">
        <f>MIN('4. СФ-МАШ-4 №3'!D21,IF('4. СФ-МАШ-4 №3'!K21=МДанные!$D$135,0,'4. СФ-МАШ-4 №3'!K21))</f>
        <v>0</v>
      </c>
      <c r="Z21" s="102">
        <f t="shared" si="2"/>
        <v>0</v>
      </c>
      <c r="AA21" s="103">
        <f>MIN('5. СФ-МАШ-4 №4'!D21,IF('5. СФ-МАШ-4 №4'!K21=МДанные!$D$135,0,'5. СФ-МАШ-4 №4'!K21))</f>
        <v>0</v>
      </c>
      <c r="AB21" s="367">
        <f t="shared" si="3"/>
        <v>0</v>
      </c>
      <c r="AC21" s="56" t="s">
        <v>59</v>
      </c>
      <c r="AD21" s="100">
        <f>MIN(INT((Nox-N1os)/2),INT((Nox-N1om)/2))</f>
        <v>49</v>
      </c>
      <c r="AE21" s="100">
        <f>INT(d1I/('2. СФ-МАШ-4 №1'!F21+'2. СФ-МАШ-4 №1'!G21))</f>
        <v>333</v>
      </c>
      <c r="AF21" s="100"/>
      <c r="AG21" s="101">
        <f>MIN(INT((Nox-N2os)/2),INT((Nox-N2om)/2))</f>
        <v>49</v>
      </c>
      <c r="AH21" s="101">
        <f>INT(d2I/('3. СФ-МАШ-4 №2'!F21+'3. СФ-МАШ-4 №2'!G21))</f>
        <v>333</v>
      </c>
      <c r="AI21" s="101"/>
      <c r="AJ21" s="102">
        <f>MIN(INT((Nox-N3os)/2),INT((Nox-N3om)/2))</f>
        <v>49</v>
      </c>
      <c r="AK21" s="102"/>
      <c r="AL21" s="102"/>
      <c r="AM21" s="103">
        <f>MIN(INT((Nox-N4os)/2),INT((Nox-N4om)/2))</f>
        <v>49</v>
      </c>
      <c r="AN21" s="103"/>
      <c r="AO21" s="103"/>
    </row>
    <row r="22" spans="2:41" x14ac:dyDescent="0.25">
      <c r="B22">
        <v>22</v>
      </c>
      <c r="C22" s="49"/>
      <c r="D22" s="56" t="s">
        <v>60</v>
      </c>
      <c r="E22" s="57">
        <v>0.7</v>
      </c>
      <c r="F22" s="57">
        <v>0</v>
      </c>
      <c r="J22" s="57">
        <v>0.05</v>
      </c>
      <c r="K22" s="57">
        <v>0.15</v>
      </c>
      <c r="L22" s="66">
        <f>INT(МДанные!$D$139/M22)</f>
        <v>49</v>
      </c>
      <c r="M22" s="70">
        <v>2</v>
      </c>
      <c r="N22" s="56" t="s">
        <v>60</v>
      </c>
      <c r="O22" s="57">
        <v>0</v>
      </c>
      <c r="P22" s="100"/>
      <c r="Q22" s="101"/>
      <c r="R22" s="102"/>
      <c r="S22" s="103"/>
      <c r="U22" s="100">
        <f>MIN('2. СФ-МАШ-4 №1'!D22,IF('2. СФ-МАШ-4 №1'!K22=МДанные!$D$135,0,'2. СФ-МАШ-4 №1'!K22))</f>
        <v>0</v>
      </c>
      <c r="V22" s="100">
        <f t="shared" si="0"/>
        <v>0</v>
      </c>
      <c r="W22" s="101">
        <f>MIN('3. СФ-МАШ-4 №2'!D22,IF('3. СФ-МАШ-4 №2'!K22=МДанные!$D$135,0,'3. СФ-МАШ-4 №2'!K22))</f>
        <v>0</v>
      </c>
      <c r="X22" s="101">
        <f t="shared" si="1"/>
        <v>0</v>
      </c>
      <c r="Y22" s="102">
        <f>MIN('4. СФ-МАШ-4 №3'!D22,IF('4. СФ-МАШ-4 №3'!K22=МДанные!$D$135,0,'4. СФ-МАШ-4 №3'!K22))</f>
        <v>0</v>
      </c>
      <c r="Z22" s="102">
        <f t="shared" si="2"/>
        <v>0</v>
      </c>
      <c r="AA22" s="103">
        <f>MIN('5. СФ-МАШ-4 №4'!D22,IF('5. СФ-МАШ-4 №4'!K22=МДанные!$D$135,0,'5. СФ-МАШ-4 №4'!K22))</f>
        <v>0</v>
      </c>
      <c r="AB22" s="367">
        <f t="shared" si="3"/>
        <v>0</v>
      </c>
      <c r="AC22" s="56" t="s">
        <v>60</v>
      </c>
      <c r="AD22" s="100">
        <f>MIN(INT((Nox-N1os)/2),INT((Nox-N1om)/2))</f>
        <v>49</v>
      </c>
      <c r="AE22" s="100">
        <f>INT(d1I/('2. СФ-МАШ-4 №1'!F22+'2. СФ-МАШ-4 №1'!G22))</f>
        <v>333</v>
      </c>
      <c r="AF22" s="100"/>
      <c r="AG22" s="101">
        <f>MIN(INT((Nox-N2os)/2),INT((Nox-N2om)/2))</f>
        <v>49</v>
      </c>
      <c r="AH22" s="101">
        <f>INT(d2I/('3. СФ-МАШ-4 №2'!F22+'3. СФ-МАШ-4 №2'!G22))</f>
        <v>333</v>
      </c>
      <c r="AI22" s="101"/>
      <c r="AJ22" s="102">
        <f>MIN(INT((Nox-N3os)/2),INT((Nox-N3om)/2))</f>
        <v>49</v>
      </c>
      <c r="AK22" s="102"/>
      <c r="AL22" s="102"/>
      <c r="AM22" s="103">
        <f>MIN(INT((Nox-N4os)/2),INT((Nox-N4om)/2))</f>
        <v>49</v>
      </c>
      <c r="AN22" s="103"/>
      <c r="AO22" s="103"/>
    </row>
    <row r="23" spans="2:41" x14ac:dyDescent="0.25">
      <c r="B23">
        <v>23</v>
      </c>
      <c r="C23" s="49"/>
      <c r="D23" s="53" t="s">
        <v>19</v>
      </c>
      <c r="E23" s="54"/>
      <c r="F23" s="54"/>
      <c r="J23" s="54"/>
      <c r="K23" s="54"/>
      <c r="L23" s="55"/>
      <c r="M23" s="71"/>
      <c r="N23" s="53" t="s">
        <v>19</v>
      </c>
      <c r="O23" s="54"/>
      <c r="P23" s="100"/>
      <c r="Q23" s="101"/>
      <c r="R23" s="102"/>
      <c r="S23" s="103"/>
      <c r="U23" s="100"/>
      <c r="V23" s="100"/>
      <c r="W23" s="101"/>
      <c r="X23" s="101"/>
      <c r="Y23" s="102"/>
      <c r="Z23" s="102"/>
      <c r="AA23" s="103"/>
      <c r="AB23" s="367"/>
      <c r="AC23" s="53" t="s">
        <v>19</v>
      </c>
      <c r="AD23" s="100"/>
      <c r="AE23" s="100"/>
      <c r="AF23" s="100"/>
      <c r="AG23" s="101"/>
      <c r="AH23" s="101"/>
      <c r="AI23" s="101"/>
      <c r="AJ23" s="102"/>
      <c r="AK23" s="102"/>
      <c r="AL23" s="102"/>
      <c r="AM23" s="103"/>
      <c r="AN23" s="103"/>
      <c r="AO23" s="103"/>
    </row>
    <row r="24" spans="2:41" x14ac:dyDescent="0.25">
      <c r="B24">
        <v>24</v>
      </c>
      <c r="C24" s="49"/>
      <c r="D24" s="56" t="s">
        <v>61</v>
      </c>
      <c r="E24" s="57">
        <v>0.66</v>
      </c>
      <c r="F24" s="57">
        <v>1.8</v>
      </c>
      <c r="J24" s="57">
        <v>0</v>
      </c>
      <c r="K24" s="57">
        <v>0</v>
      </c>
      <c r="L24" s="66">
        <f>INT(МДанные!$D$138/M24)</f>
        <v>159</v>
      </c>
      <c r="M24" s="70">
        <v>1</v>
      </c>
      <c r="N24" s="56" t="s">
        <v>61</v>
      </c>
      <c r="O24" s="57">
        <v>18</v>
      </c>
      <c r="P24" s="100">
        <f>P35+'2. СФ-МАШ-4 №1'!I35</f>
        <v>0</v>
      </c>
      <c r="Q24" s="101">
        <f>Q35+'3. СФ-МАШ-4 №2'!I35</f>
        <v>0</v>
      </c>
      <c r="R24" s="102">
        <f>R35+'4. СФ-МАШ-4 №3'!I35</f>
        <v>0</v>
      </c>
      <c r="S24" s="103">
        <f>S35+'5. СФ-МАШ-4 №4'!I35</f>
        <v>0</v>
      </c>
      <c r="U24" s="100">
        <f>MIN('2. СФ-МАШ-4 №1'!D24,IF('2. СФ-МАШ-4 №1'!K24=МДанные!$D$135,0,'2. СФ-МАШ-4 №1'!K24))</f>
        <v>0</v>
      </c>
      <c r="V24" s="100">
        <f t="shared" ref="V24:V37" si="8">U24*K24</f>
        <v>0</v>
      </c>
      <c r="W24" s="101">
        <f>MIN('3. СФ-МАШ-4 №2'!D24,IF('3. СФ-МАШ-4 №2'!K24=МДанные!$D$135,0,'3. СФ-МАШ-4 №2'!K24))</f>
        <v>0</v>
      </c>
      <c r="X24" s="101">
        <f t="shared" ref="X24:X37" si="9">W24*K24</f>
        <v>0</v>
      </c>
      <c r="Y24" s="102">
        <f>MIN('4. СФ-МАШ-4 №3'!D24,IF('4. СФ-МАШ-4 №3'!K24=МДанные!$D$135,0,'4. СФ-МАШ-4 №3'!K24))</f>
        <v>0</v>
      </c>
      <c r="Z24" s="102">
        <f t="shared" ref="Z24:Z37" si="10">Y24*K24</f>
        <v>0</v>
      </c>
      <c r="AA24" s="103">
        <f>MIN('5. СФ-МАШ-4 №4'!D24,IF('5. СФ-МАШ-4 №4'!K24=МДанные!$D$135,0,'5. СФ-МАШ-4 №4'!K24))</f>
        <v>0</v>
      </c>
      <c r="AB24" s="367">
        <f t="shared" ref="AB24:AB37" si="11">AA24*K24</f>
        <v>0</v>
      </c>
      <c r="AC24" s="56" t="s">
        <v>61</v>
      </c>
      <c r="AD24" s="100">
        <f t="shared" ref="AD24:AD32" si="12">Nax-N1am</f>
        <v>159</v>
      </c>
      <c r="AE24" s="100">
        <f>INT((d1I-(5-P24-'2. СФ-МАШ-4 №1'!I24)*('2. СФ-МАШ-4 №1'!F24+'2. СФ-МАШ-4 №1'!G24))/'2. СФ-МАШ-4 №1'!F24)+(5-P24-'2. СФ-МАШ-4 №1'!I24)</f>
        <v>340</v>
      </c>
      <c r="AF24" s="100"/>
      <c r="AG24" s="101">
        <f t="shared" ref="AG24:AG32" si="13">Nax-N2am</f>
        <v>159</v>
      </c>
      <c r="AH24" s="101">
        <f>INT((d2I-(5-Q24-'3. СФ-МАШ-4 №2'!I24)*('3. СФ-МАШ-4 №2'!F24+'3. СФ-МАШ-4 №2'!G24))/'3. СФ-МАШ-4 №2'!F24)+(5-Q24-'3. СФ-МАШ-4 №2'!I24)</f>
        <v>340</v>
      </c>
      <c r="AI24" s="101"/>
      <c r="AJ24" s="102">
        <f t="shared" ref="AJ24:AJ32" si="14">Nax-N3am</f>
        <v>159</v>
      </c>
      <c r="AK24" s="102">
        <f>INT((d3I-(5-R24-'4. СФ-МАШ-4 №3'!I24)*('4. СФ-МАШ-4 №3'!F24+'4. СФ-МАШ-4 №3'!G24))/'4. СФ-МАШ-4 №3'!F24)+(5-R24-'4. СФ-МАШ-4 №3'!I24)</f>
        <v>340</v>
      </c>
      <c r="AL24" s="102"/>
      <c r="AM24" s="103">
        <f t="shared" ref="AM24:AM32" si="15">Nax-N4am</f>
        <v>159</v>
      </c>
      <c r="AN24" s="103">
        <f>INT((d4I-(5-S24-'5. СФ-МАШ-4 №4'!I24)*('5. СФ-МАШ-4 №4'!F24+'5. СФ-МАШ-4 №4'!G24))/'5. СФ-МАШ-4 №4'!F24)+(5-S24-'5. СФ-МАШ-4 №4'!I24)</f>
        <v>340</v>
      </c>
      <c r="AO24" s="103"/>
    </row>
    <row r="25" spans="2:41" x14ac:dyDescent="0.25">
      <c r="B25">
        <v>25</v>
      </c>
      <c r="C25" s="49"/>
      <c r="D25" s="56" t="s">
        <v>62</v>
      </c>
      <c r="E25" s="57">
        <v>0.66</v>
      </c>
      <c r="F25" s="57">
        <v>1.8</v>
      </c>
      <c r="J25" s="57">
        <v>0.05</v>
      </c>
      <c r="K25" s="57">
        <v>0.13</v>
      </c>
      <c r="L25" s="66">
        <f>INT(МДанные!$D$138/M25)</f>
        <v>159</v>
      </c>
      <c r="M25" s="70">
        <v>1</v>
      </c>
      <c r="N25" s="56" t="s">
        <v>62</v>
      </c>
      <c r="O25" s="57">
        <v>19</v>
      </c>
      <c r="P25" s="100">
        <f>P24+'2. СФ-МАШ-4 №1'!I24</f>
        <v>0</v>
      </c>
      <c r="Q25" s="101">
        <f>Q24+'3. СФ-МАШ-4 №2'!I24</f>
        <v>0</v>
      </c>
      <c r="R25" s="102">
        <f>R24+'4. СФ-МАШ-4 №3'!I24</f>
        <v>0</v>
      </c>
      <c r="S25" s="103">
        <f>S24+'5. СФ-МАШ-4 №4'!I24</f>
        <v>0</v>
      </c>
      <c r="U25" s="100">
        <f>MIN('2. СФ-МАШ-4 №1'!D25,IF('2. СФ-МАШ-4 №1'!K25=МДанные!$D$135,0,'2. СФ-МАШ-4 №1'!K25))</f>
        <v>0</v>
      </c>
      <c r="V25" s="100">
        <f t="shared" si="8"/>
        <v>0</v>
      </c>
      <c r="W25" s="101">
        <f>MIN('3. СФ-МАШ-4 №2'!D25,IF('3. СФ-МАШ-4 №2'!K25=МДанные!$D$135,0,'3. СФ-МАШ-4 №2'!K25))</f>
        <v>0</v>
      </c>
      <c r="X25" s="101">
        <f t="shared" si="9"/>
        <v>0</v>
      </c>
      <c r="Y25" s="102">
        <f>MIN('4. СФ-МАШ-4 №3'!D25,IF('4. СФ-МАШ-4 №3'!K25=МДанные!$D$135,0,'4. СФ-МАШ-4 №3'!K25))</f>
        <v>0</v>
      </c>
      <c r="Z25" s="102">
        <f t="shared" si="10"/>
        <v>0</v>
      </c>
      <c r="AA25" s="103">
        <f>MIN('5. СФ-МАШ-4 №4'!D25,IF('5. СФ-МАШ-4 №4'!K25=МДанные!$D$135,0,'5. СФ-МАШ-4 №4'!K25))</f>
        <v>0</v>
      </c>
      <c r="AB25" s="367">
        <f t="shared" si="11"/>
        <v>0</v>
      </c>
      <c r="AC25" s="56" t="s">
        <v>62</v>
      </c>
      <c r="AD25" s="100">
        <f t="shared" si="12"/>
        <v>159</v>
      </c>
      <c r="AE25" s="100">
        <f>INT((d1I-(5-P25-'2. СФ-МАШ-4 №1'!I25)*('2. СФ-МАШ-4 №1'!F25+'2. СФ-МАШ-4 №1'!G25))/'2. СФ-МАШ-4 №1'!F25)+(5-P25-'2. СФ-МАШ-4 №1'!I25)</f>
        <v>316</v>
      </c>
      <c r="AF25" s="100">
        <f>INT((N1u-Nix*N1i)/(Nix-1))</f>
        <v>0</v>
      </c>
      <c r="AG25" s="101">
        <f t="shared" si="13"/>
        <v>159</v>
      </c>
      <c r="AH25" s="101">
        <f>INT((d2I-MAX(2-'3. СФ-МАШ-4 №2'!$D$92,0)*15-(5-Q25-'3. СФ-МАШ-4 №2'!I25)*('3. СФ-МАШ-4 №2'!F25+'3. СФ-МАШ-4 №2'!G25))/'3. СФ-МАШ-4 №2'!F25)+(5-Q25-'3. СФ-МАШ-4 №2'!I25)</f>
        <v>271</v>
      </c>
      <c r="AI25" s="101">
        <f>INT((N2u-Nix*N2i)/(Nix-1))</f>
        <v>0</v>
      </c>
      <c r="AJ25" s="102">
        <f t="shared" si="14"/>
        <v>159</v>
      </c>
      <c r="AK25" s="102">
        <f>INT((d3I-MAX(2-'4. СФ-МАШ-4 №3'!$D$92,0)*15-(5-R25-'4. СФ-МАШ-4 №3'!I25)*('4. СФ-МАШ-4 №3'!F25+'4. СФ-МАШ-4 №3'!G25))/'4. СФ-МАШ-4 №3'!F25)+(5-R25-'4. СФ-МАШ-4 №3'!I25)</f>
        <v>271</v>
      </c>
      <c r="AL25" s="102">
        <f>INT((N3u-Nix*N3i)/(Nix-1))</f>
        <v>0</v>
      </c>
      <c r="AM25" s="103">
        <f t="shared" si="15"/>
        <v>159</v>
      </c>
      <c r="AN25" s="103">
        <f>INT((d4I-MAX(2-'5. СФ-МАШ-4 №4'!$D$92,0)*15-(5-S25-'5. СФ-МАШ-4 №4'!I25)*('5. СФ-МАШ-4 №4'!F25+'5. СФ-МАШ-4 №4'!G25))/'5. СФ-МАШ-4 №4'!F25)+(5-S25-'5. СФ-МАШ-4 №4'!I25)</f>
        <v>271</v>
      </c>
      <c r="AO25" s="103">
        <f>INT((N4u-Nix*N4i)/(Nix-1))</f>
        <v>0</v>
      </c>
    </row>
    <row r="26" spans="2:41" x14ac:dyDescent="0.25">
      <c r="B26">
        <v>26</v>
      </c>
      <c r="C26" s="49"/>
      <c r="D26" s="56" t="s">
        <v>63</v>
      </c>
      <c r="E26" s="57">
        <v>0.66</v>
      </c>
      <c r="F26" s="57">
        <v>1.8</v>
      </c>
      <c r="J26" s="57">
        <v>0</v>
      </c>
      <c r="K26" s="57">
        <v>0</v>
      </c>
      <c r="L26" s="66">
        <f>INT(МДанные!$D$138/M26)</f>
        <v>159</v>
      </c>
      <c r="M26" s="70">
        <v>1</v>
      </c>
      <c r="N26" s="56" t="s">
        <v>63</v>
      </c>
      <c r="O26" s="57">
        <v>20</v>
      </c>
      <c r="P26" s="100">
        <f>P25+'2. СФ-МАШ-4 №1'!I25</f>
        <v>0</v>
      </c>
      <c r="Q26" s="101">
        <f>Q25+'3. СФ-МАШ-4 №2'!I25</f>
        <v>0</v>
      </c>
      <c r="R26" s="102">
        <f>R25+'4. СФ-МАШ-4 №3'!I25</f>
        <v>0</v>
      </c>
      <c r="S26" s="103">
        <f>S25+'5. СФ-МАШ-4 №4'!I25</f>
        <v>0</v>
      </c>
      <c r="U26" s="100">
        <f>MIN('2. СФ-МАШ-4 №1'!D26,IF('2. СФ-МАШ-4 №1'!K26=МДанные!$D$135,0,'2. СФ-МАШ-4 №1'!K26))</f>
        <v>0</v>
      </c>
      <c r="V26" s="100">
        <f t="shared" si="8"/>
        <v>0</v>
      </c>
      <c r="W26" s="101">
        <f>MIN('3. СФ-МАШ-4 №2'!D26,IF('3. СФ-МАШ-4 №2'!K26=МДанные!$D$135,0,'3. СФ-МАШ-4 №2'!K26))</f>
        <v>0</v>
      </c>
      <c r="X26" s="101">
        <f t="shared" si="9"/>
        <v>0</v>
      </c>
      <c r="Y26" s="102">
        <f>MIN('4. СФ-МАШ-4 №3'!D26,IF('4. СФ-МАШ-4 №3'!K26=МДанные!$D$135,0,'4. СФ-МАШ-4 №3'!K26))</f>
        <v>0</v>
      </c>
      <c r="Z26" s="102">
        <f t="shared" si="10"/>
        <v>0</v>
      </c>
      <c r="AA26" s="103">
        <f>MIN('5. СФ-МАШ-4 №4'!D26,IF('5. СФ-МАШ-4 №4'!K26=МДанные!$D$135,0,'5. СФ-МАШ-4 №4'!K26))</f>
        <v>0</v>
      </c>
      <c r="AB26" s="367">
        <f t="shared" si="11"/>
        <v>0</v>
      </c>
      <c r="AC26" s="56" t="s">
        <v>63</v>
      </c>
      <c r="AD26" s="100">
        <f t="shared" si="12"/>
        <v>159</v>
      </c>
      <c r="AE26" s="100">
        <f>INT((d1I-(5-P26-'2. СФ-МАШ-4 №1'!I26)*('2. СФ-МАШ-4 №1'!F26+'2. СФ-МАШ-4 №1'!G26))/'2. СФ-МАШ-4 №1'!F26)+(5-P26-'2. СФ-МАШ-4 №1'!I26)</f>
        <v>340</v>
      </c>
      <c r="AF26" s="100"/>
      <c r="AG26" s="101">
        <f t="shared" si="13"/>
        <v>159</v>
      </c>
      <c r="AH26" s="101">
        <f>INT((d2I-(5-Q26-'3. СФ-МАШ-4 №2'!I26)*('3. СФ-МАШ-4 №2'!F26+'3. СФ-МАШ-4 №2'!G26))/'3. СФ-МАШ-4 №2'!F26)+(5-Q26-'3. СФ-МАШ-4 №2'!I26)</f>
        <v>340</v>
      </c>
      <c r="AI26" s="101"/>
      <c r="AJ26" s="102">
        <f t="shared" si="14"/>
        <v>159</v>
      </c>
      <c r="AK26" s="102">
        <f>INT((d3I-(5-R26-'4. СФ-МАШ-4 №3'!I26)*('4. СФ-МАШ-4 №3'!F26+'4. СФ-МАШ-4 №3'!G26))/'4. СФ-МАШ-4 №3'!F26)+(5-R26-'4. СФ-МАШ-4 №3'!I26)</f>
        <v>340</v>
      </c>
      <c r="AL26" s="102"/>
      <c r="AM26" s="103">
        <f t="shared" si="15"/>
        <v>159</v>
      </c>
      <c r="AN26" s="103">
        <f>INT((d4I-(5-S26-'5. СФ-МАШ-4 №4'!I26)*('5. СФ-МАШ-4 №4'!F26+'5. СФ-МАШ-4 №4'!G26))/'5. СФ-МАШ-4 №4'!F26)+(5-S26-'5. СФ-МАШ-4 №4'!I26)</f>
        <v>340</v>
      </c>
      <c r="AO26" s="103"/>
    </row>
    <row r="27" spans="2:41" x14ac:dyDescent="0.25">
      <c r="B27">
        <v>27</v>
      </c>
      <c r="C27" s="49"/>
      <c r="D27" s="56" t="s">
        <v>64</v>
      </c>
      <c r="E27" s="57">
        <v>0.66</v>
      </c>
      <c r="F27" s="57">
        <v>1.8</v>
      </c>
      <c r="J27" s="57">
        <v>0.05</v>
      </c>
      <c r="K27" s="57">
        <v>0.13</v>
      </c>
      <c r="L27" s="66">
        <f>INT(МДанные!$D$138/M27)</f>
        <v>159</v>
      </c>
      <c r="M27" s="70">
        <v>1</v>
      </c>
      <c r="N27" s="56" t="s">
        <v>64</v>
      </c>
      <c r="O27" s="57">
        <v>21</v>
      </c>
      <c r="P27" s="100">
        <f>P26+'2. СФ-МАШ-4 №1'!I26</f>
        <v>0</v>
      </c>
      <c r="Q27" s="101">
        <f>Q26+'3. СФ-МАШ-4 №2'!I26</f>
        <v>0</v>
      </c>
      <c r="R27" s="102">
        <f>R26+'4. СФ-МАШ-4 №3'!I26</f>
        <v>0</v>
      </c>
      <c r="S27" s="103">
        <f>S26+'5. СФ-МАШ-4 №4'!I26</f>
        <v>0</v>
      </c>
      <c r="U27" s="100">
        <f>MIN('2. СФ-МАШ-4 №1'!D27,IF('2. СФ-МАШ-4 №1'!K27=МДанные!$D$135,0,'2. СФ-МАШ-4 №1'!K27))</f>
        <v>0</v>
      </c>
      <c r="V27" s="100">
        <f t="shared" si="8"/>
        <v>0</v>
      </c>
      <c r="W27" s="101">
        <f>MIN('3. СФ-МАШ-4 №2'!D27,IF('3. СФ-МАШ-4 №2'!K27=МДанные!$D$135,0,'3. СФ-МАШ-4 №2'!K27))</f>
        <v>0</v>
      </c>
      <c r="X27" s="101">
        <f t="shared" si="9"/>
        <v>0</v>
      </c>
      <c r="Y27" s="102">
        <f>MIN('4. СФ-МАШ-4 №3'!D27,IF('4. СФ-МАШ-4 №3'!K27=МДанные!$D$135,0,'4. СФ-МАШ-4 №3'!K27))</f>
        <v>0</v>
      </c>
      <c r="Z27" s="102">
        <f t="shared" si="10"/>
        <v>0</v>
      </c>
      <c r="AA27" s="103">
        <f>MIN('5. СФ-МАШ-4 №4'!D27,IF('5. СФ-МАШ-4 №4'!K27=МДанные!$D$135,0,'5. СФ-МАШ-4 №4'!K27))</f>
        <v>0</v>
      </c>
      <c r="AB27" s="367">
        <f t="shared" si="11"/>
        <v>0</v>
      </c>
      <c r="AC27" s="56" t="s">
        <v>64</v>
      </c>
      <c r="AD27" s="100">
        <f t="shared" si="12"/>
        <v>159</v>
      </c>
      <c r="AE27" s="100">
        <f>INT((d1I-(5-P27-'2. СФ-МАШ-4 №1'!I27)*('2. СФ-МАШ-4 №1'!F27+'2. СФ-МАШ-4 №1'!G27))/'2. СФ-МАШ-4 №1'!F27)+(5-P27-'2. СФ-МАШ-4 №1'!I27)</f>
        <v>316</v>
      </c>
      <c r="AF27" s="100">
        <f>INT((N1u-Nix*N1i)/(Nix-1))</f>
        <v>0</v>
      </c>
      <c r="AG27" s="101">
        <f t="shared" si="13"/>
        <v>159</v>
      </c>
      <c r="AH27" s="101">
        <f>INT((d2I-MAX(2-'3. СФ-МАШ-4 №2'!$D$92,0)*15-(5-Q27-'3. СФ-МАШ-4 №2'!I27)*('3. СФ-МАШ-4 №2'!F27+'3. СФ-МАШ-4 №2'!G27))/'3. СФ-МАШ-4 №2'!F27)+(5-Q27-'3. СФ-МАШ-4 №2'!I27)</f>
        <v>271</v>
      </c>
      <c r="AI27" s="101">
        <f>INT((N2u-Nix*N2i)/(Nix-1))</f>
        <v>0</v>
      </c>
      <c r="AJ27" s="102">
        <f t="shared" si="14"/>
        <v>159</v>
      </c>
      <c r="AK27" s="102">
        <f>INT((d3I-MAX(2-'4. СФ-МАШ-4 №3'!$D$92,0)*15-(5-R27-'4. СФ-МАШ-4 №3'!I27)*('4. СФ-МАШ-4 №3'!F27+'4. СФ-МАШ-4 №3'!G27))/'4. СФ-МАШ-4 №3'!F27)+(5-R27-'4. СФ-МАШ-4 №3'!I27)</f>
        <v>271</v>
      </c>
      <c r="AL27" s="102">
        <f>INT((N3u-Nix*N3i)/(Nix-1))</f>
        <v>0</v>
      </c>
      <c r="AM27" s="103">
        <f t="shared" si="15"/>
        <v>159</v>
      </c>
      <c r="AN27" s="103">
        <f>INT((d4I-MAX(2-'5. СФ-МАШ-4 №4'!$D$92,0)*15-(5-S27-'5. СФ-МАШ-4 №4'!I27)*('5. СФ-МАШ-4 №4'!F27+'5. СФ-МАШ-4 №4'!G27))/'5. СФ-МАШ-4 №4'!F27)+(5-S27-'5. СФ-МАШ-4 №4'!I27)</f>
        <v>271</v>
      </c>
      <c r="AO27" s="103">
        <f>INT((N4u-Nix*N4i)/(Nix-1))</f>
        <v>0</v>
      </c>
    </row>
    <row r="28" spans="2:41" x14ac:dyDescent="0.25">
      <c r="B28">
        <v>28</v>
      </c>
      <c r="C28" s="49"/>
      <c r="D28" s="56" t="s">
        <v>65</v>
      </c>
      <c r="E28" s="57">
        <v>0.66</v>
      </c>
      <c r="F28" s="57">
        <v>1.8</v>
      </c>
      <c r="J28" s="57">
        <v>0</v>
      </c>
      <c r="K28" s="57">
        <v>0</v>
      </c>
      <c r="L28" s="66">
        <f>INT(МДанные!$D$138/M28)</f>
        <v>159</v>
      </c>
      <c r="M28" s="70">
        <v>1</v>
      </c>
      <c r="N28" s="56" t="s">
        <v>65</v>
      </c>
      <c r="O28" s="57">
        <v>22</v>
      </c>
      <c r="P28" s="100">
        <f>P27+'2. СФ-МАШ-4 №1'!I27</f>
        <v>0</v>
      </c>
      <c r="Q28" s="101">
        <f>Q27+'3. СФ-МАШ-4 №2'!I27</f>
        <v>0</v>
      </c>
      <c r="R28" s="102">
        <f>R27+'4. СФ-МАШ-4 №3'!I27</f>
        <v>0</v>
      </c>
      <c r="S28" s="103">
        <f>S27+'5. СФ-МАШ-4 №4'!I27</f>
        <v>0</v>
      </c>
      <c r="U28" s="100">
        <f>MIN('2. СФ-МАШ-4 №1'!D28,IF('2. СФ-МАШ-4 №1'!K28=МДанные!$D$135,0,'2. СФ-МАШ-4 №1'!K28))</f>
        <v>0</v>
      </c>
      <c r="V28" s="100">
        <f t="shared" si="8"/>
        <v>0</v>
      </c>
      <c r="W28" s="101">
        <f>MIN('3. СФ-МАШ-4 №2'!D28,IF('3. СФ-МАШ-4 №2'!K28=МДанные!$D$135,0,'3. СФ-МАШ-4 №2'!K28))</f>
        <v>0</v>
      </c>
      <c r="X28" s="101">
        <f t="shared" si="9"/>
        <v>0</v>
      </c>
      <c r="Y28" s="102">
        <f>MIN('4. СФ-МАШ-4 №3'!D28,IF('4. СФ-МАШ-4 №3'!K28=МДанные!$D$135,0,'4. СФ-МАШ-4 №3'!K28))</f>
        <v>0</v>
      </c>
      <c r="Z28" s="102">
        <f t="shared" si="10"/>
        <v>0</v>
      </c>
      <c r="AA28" s="103">
        <f>MIN('5. СФ-МАШ-4 №4'!D28,IF('5. СФ-МАШ-4 №4'!K28=МДанные!$D$135,0,'5. СФ-МАШ-4 №4'!K28))</f>
        <v>0</v>
      </c>
      <c r="AB28" s="367">
        <f t="shared" si="11"/>
        <v>0</v>
      </c>
      <c r="AC28" s="56" t="s">
        <v>65</v>
      </c>
      <c r="AD28" s="100">
        <f t="shared" si="12"/>
        <v>159</v>
      </c>
      <c r="AE28" s="100">
        <f>INT((d1I-(5-P28-'2. СФ-МАШ-4 №1'!I28)*('2. СФ-МАШ-4 №1'!F28+'2. СФ-МАШ-4 №1'!G28))/'2. СФ-МАШ-4 №1'!F28)+(5-P28-'2. СФ-МАШ-4 №1'!I28)</f>
        <v>340</v>
      </c>
      <c r="AF28" s="100"/>
      <c r="AG28" s="101">
        <f t="shared" si="13"/>
        <v>159</v>
      </c>
      <c r="AH28" s="101">
        <f>INT((d2I-(5-Q28-'3. СФ-МАШ-4 №2'!I28)*('3. СФ-МАШ-4 №2'!F28+'3. СФ-МАШ-4 №2'!G28))/'3. СФ-МАШ-4 №2'!F28)+(5-Q28-'3. СФ-МАШ-4 №2'!I28)</f>
        <v>340</v>
      </c>
      <c r="AI28" s="101"/>
      <c r="AJ28" s="102">
        <f t="shared" si="14"/>
        <v>159</v>
      </c>
      <c r="AK28" s="102">
        <f>INT((d3I-(5-R28-'4. СФ-МАШ-4 №3'!I28)*('4. СФ-МАШ-4 №3'!F28+'4. СФ-МАШ-4 №3'!G28))/'4. СФ-МАШ-4 №3'!F28)+(5-R28-'4. СФ-МАШ-4 №3'!I28)</f>
        <v>340</v>
      </c>
      <c r="AL28" s="102"/>
      <c r="AM28" s="103">
        <f t="shared" si="15"/>
        <v>159</v>
      </c>
      <c r="AN28" s="103">
        <f>INT((d4I-(5-S28-'5. СФ-МАШ-4 №4'!I28)*('5. СФ-МАШ-4 №4'!F28+'5. СФ-МАШ-4 №4'!G28))/'5. СФ-МАШ-4 №4'!F28)+(5-S28-'5. СФ-МАШ-4 №4'!I28)</f>
        <v>340</v>
      </c>
      <c r="AO28" s="103"/>
    </row>
    <row r="29" spans="2:41" x14ac:dyDescent="0.25">
      <c r="B29">
        <v>29</v>
      </c>
      <c r="C29" s="49"/>
      <c r="D29" s="56" t="s">
        <v>66</v>
      </c>
      <c r="E29" s="57">
        <v>0.66</v>
      </c>
      <c r="F29" s="57">
        <v>1.8</v>
      </c>
      <c r="J29" s="57">
        <v>0.05</v>
      </c>
      <c r="K29" s="57">
        <v>0.13</v>
      </c>
      <c r="L29" s="66">
        <f>INT(МДанные!$D$138/M29)</f>
        <v>159</v>
      </c>
      <c r="M29" s="70">
        <v>1</v>
      </c>
      <c r="N29" s="56" t="s">
        <v>66</v>
      </c>
      <c r="O29" s="57">
        <v>23</v>
      </c>
      <c r="P29" s="100">
        <f>P28+'2. СФ-МАШ-4 №1'!I28</f>
        <v>0</v>
      </c>
      <c r="Q29" s="101">
        <f>Q28+'3. СФ-МАШ-4 №2'!I28</f>
        <v>0</v>
      </c>
      <c r="R29" s="102">
        <f>R28+'4. СФ-МАШ-4 №3'!I28</f>
        <v>0</v>
      </c>
      <c r="S29" s="103">
        <f>S28+'5. СФ-МАШ-4 №4'!I28</f>
        <v>0</v>
      </c>
      <c r="U29" s="100">
        <f>MIN('2. СФ-МАШ-4 №1'!D29,IF('2. СФ-МАШ-4 №1'!K29=МДанные!$D$135,0,'2. СФ-МАШ-4 №1'!K29))</f>
        <v>0</v>
      </c>
      <c r="V29" s="100">
        <f t="shared" si="8"/>
        <v>0</v>
      </c>
      <c r="W29" s="101">
        <f>MIN('3. СФ-МАШ-4 №2'!D29,IF('3. СФ-МАШ-4 №2'!K29=МДанные!$D$135,0,'3. СФ-МАШ-4 №2'!K29))</f>
        <v>0</v>
      </c>
      <c r="X29" s="101">
        <f t="shared" si="9"/>
        <v>0</v>
      </c>
      <c r="Y29" s="102">
        <f>MIN('4. СФ-МАШ-4 №3'!D29,IF('4. СФ-МАШ-4 №3'!K29=МДанные!$D$135,0,'4. СФ-МАШ-4 №3'!K29))</f>
        <v>0</v>
      </c>
      <c r="Z29" s="102">
        <f t="shared" si="10"/>
        <v>0</v>
      </c>
      <c r="AA29" s="103">
        <f>MIN('5. СФ-МАШ-4 №4'!D29,IF('5. СФ-МАШ-4 №4'!K29=МДанные!$D$135,0,'5. СФ-МАШ-4 №4'!K29))</f>
        <v>0</v>
      </c>
      <c r="AB29" s="367">
        <f t="shared" si="11"/>
        <v>0</v>
      </c>
      <c r="AC29" s="56" t="s">
        <v>66</v>
      </c>
      <c r="AD29" s="100">
        <f t="shared" si="12"/>
        <v>159</v>
      </c>
      <c r="AE29" s="100">
        <f>INT((d1I-(5-P29-'2. СФ-МАШ-4 №1'!I29)*('2. СФ-МАШ-4 №1'!F29+'2. СФ-МАШ-4 №1'!G29))/'2. СФ-МАШ-4 №1'!F29)+(5-P29-'2. СФ-МАШ-4 №1'!I29)</f>
        <v>316</v>
      </c>
      <c r="AF29" s="100">
        <f>INT((N1u-Nix*N1i)/(Nix-1))</f>
        <v>0</v>
      </c>
      <c r="AG29" s="101">
        <f t="shared" si="13"/>
        <v>159</v>
      </c>
      <c r="AH29" s="101">
        <f>INT((d2I-MAX(2-'3. СФ-МАШ-4 №2'!$D$92,0)*15-(5-Q29-'3. СФ-МАШ-4 №2'!I29)*('3. СФ-МАШ-4 №2'!F29+'3. СФ-МАШ-4 №2'!G29))/'3. СФ-МАШ-4 №2'!F29)+(5-Q29-'3. СФ-МАШ-4 №2'!I29)</f>
        <v>271</v>
      </c>
      <c r="AI29" s="101">
        <f>INT((N2u-Nix*N2i)/(Nix-1))</f>
        <v>0</v>
      </c>
      <c r="AJ29" s="102">
        <f t="shared" si="14"/>
        <v>159</v>
      </c>
      <c r="AK29" s="102">
        <f>INT((d3I-MAX(2-'4. СФ-МАШ-4 №3'!$D$92,0)*15-(5-R29-'4. СФ-МАШ-4 №3'!I29)*('4. СФ-МАШ-4 №3'!F29+'4. СФ-МАШ-4 №3'!G29))/'4. СФ-МАШ-4 №3'!F29)+(5-R29-'4. СФ-МАШ-4 №3'!I29)</f>
        <v>271</v>
      </c>
      <c r="AL29" s="102">
        <f>INT((N3u-Nix*N3i)/(Nix-1))</f>
        <v>0</v>
      </c>
      <c r="AM29" s="103">
        <f t="shared" si="15"/>
        <v>159</v>
      </c>
      <c r="AN29" s="103">
        <f>INT((d4I-MAX(2-'5. СФ-МАШ-4 №4'!$D$92,0)*15-(5-S29-'5. СФ-МАШ-4 №4'!I29)*('5. СФ-МАШ-4 №4'!F29+'5. СФ-МАШ-4 №4'!G29))/'5. СФ-МАШ-4 №4'!F29)+(5-S29-'5. СФ-МАШ-4 №4'!I29)</f>
        <v>271</v>
      </c>
      <c r="AO29" s="103">
        <f>INT((N4u-Nix*N4i)/(Nix-1))</f>
        <v>0</v>
      </c>
    </row>
    <row r="30" spans="2:41" x14ac:dyDescent="0.25">
      <c r="B30">
        <v>30</v>
      </c>
      <c r="C30" s="49"/>
      <c r="D30" s="56" t="s">
        <v>67</v>
      </c>
      <c r="E30" s="57">
        <v>0.45500000000000002</v>
      </c>
      <c r="F30" s="57">
        <v>2</v>
      </c>
      <c r="J30" s="57">
        <v>0.05</v>
      </c>
      <c r="K30" s="57">
        <v>0.125</v>
      </c>
      <c r="L30" s="66">
        <f>INT(МДанные!$D$138/M30)</f>
        <v>159</v>
      </c>
      <c r="M30" s="70">
        <v>1</v>
      </c>
      <c r="N30" s="56" t="s">
        <v>67</v>
      </c>
      <c r="O30" s="57">
        <v>12</v>
      </c>
      <c r="P30" s="100">
        <f>P17+'2. СФ-МАШ-4 №1'!I17</f>
        <v>0</v>
      </c>
      <c r="Q30" s="101">
        <f>Q17+'3. СФ-МАШ-4 №2'!I17</f>
        <v>0</v>
      </c>
      <c r="R30" s="102">
        <f>R17+'4. СФ-МАШ-4 №3'!I17</f>
        <v>0</v>
      </c>
      <c r="S30" s="103">
        <f>S17+'5. СФ-МАШ-4 №4'!I17</f>
        <v>0</v>
      </c>
      <c r="U30" s="100">
        <f>MIN('2. СФ-МАШ-4 №1'!D30,IF('2. СФ-МАШ-4 №1'!K30=МДанные!$D$135,0,'2. СФ-МАШ-4 №1'!K30))</f>
        <v>0</v>
      </c>
      <c r="V30" s="100">
        <f t="shared" si="8"/>
        <v>0</v>
      </c>
      <c r="W30" s="101">
        <f>MIN('3. СФ-МАШ-4 №2'!D30,IF('3. СФ-МАШ-4 №2'!K30=МДанные!$D$135,0,'3. СФ-МАШ-4 №2'!K30))</f>
        <v>0</v>
      </c>
      <c r="X30" s="101">
        <f t="shared" si="9"/>
        <v>0</v>
      </c>
      <c r="Y30" s="102">
        <f>MIN('4. СФ-МАШ-4 №3'!D30,IF('4. СФ-МАШ-4 №3'!K30=МДанные!$D$135,0,'4. СФ-МАШ-4 №3'!K30))</f>
        <v>0</v>
      </c>
      <c r="Z30" s="102">
        <f t="shared" si="10"/>
        <v>0</v>
      </c>
      <c r="AA30" s="103">
        <f>MIN('5. СФ-МАШ-4 №4'!D30,IF('5. СФ-МАШ-4 №4'!K30=МДанные!$D$135,0,'5. СФ-МАШ-4 №4'!K30))</f>
        <v>0</v>
      </c>
      <c r="AB30" s="367">
        <f t="shared" si="11"/>
        <v>0</v>
      </c>
      <c r="AC30" s="56" t="s">
        <v>67</v>
      </c>
      <c r="AD30" s="100">
        <f t="shared" si="12"/>
        <v>159</v>
      </c>
      <c r="AE30" s="100">
        <f>INT((d1I-(5-P30-'2. СФ-МАШ-4 №1'!I30)*('2. СФ-МАШ-4 №1'!F30+'2. СФ-МАШ-4 №1'!G30))/'2. СФ-МАШ-4 №1'!F30)+(5-P30-'2. СФ-МАШ-4 №1'!I30)</f>
        <v>491</v>
      </c>
      <c r="AF30" s="100"/>
      <c r="AG30" s="101">
        <f t="shared" si="13"/>
        <v>159</v>
      </c>
      <c r="AH30" s="101">
        <f>INT((d2I-(5-Q30-'3. СФ-МАШ-4 №2'!I30)*('3. СФ-МАШ-4 №2'!F30+'3. СФ-МАШ-4 №2'!G30))/'3. СФ-МАШ-4 №2'!F30)+(5-Q30-'3. СФ-МАШ-4 №2'!I30)</f>
        <v>491</v>
      </c>
      <c r="AI30" s="101"/>
      <c r="AJ30" s="102">
        <f t="shared" si="14"/>
        <v>159</v>
      </c>
      <c r="AK30" s="102">
        <f>INT((d3I-(5-R30-'4. СФ-МАШ-4 №3'!I30)*('4. СФ-МАШ-4 №3'!F30+'4. СФ-МАШ-4 №3'!G30))/'4. СФ-МАШ-4 №3'!F30)+(5-R30-'4. СФ-МАШ-4 №3'!I30)</f>
        <v>491</v>
      </c>
      <c r="AL30" s="102"/>
      <c r="AM30" s="103">
        <f t="shared" si="15"/>
        <v>159</v>
      </c>
      <c r="AN30" s="103">
        <f>INT((d4I-(5-S30-'5. СФ-МАШ-4 №4'!I30)*('5. СФ-МАШ-4 №4'!F30+'5. СФ-МАШ-4 №4'!G30))/'5. СФ-МАШ-4 №4'!F30)+(5-S30-'5. СФ-МАШ-4 №4'!I30)</f>
        <v>491</v>
      </c>
      <c r="AO30" s="103"/>
    </row>
    <row r="31" spans="2:41" x14ac:dyDescent="0.25">
      <c r="B31">
        <v>31</v>
      </c>
      <c r="C31" s="49"/>
      <c r="D31" s="56" t="s">
        <v>68</v>
      </c>
      <c r="E31" s="57">
        <v>0.51</v>
      </c>
      <c r="F31" s="57">
        <v>2</v>
      </c>
      <c r="J31" s="57">
        <v>0.05</v>
      </c>
      <c r="K31" s="57">
        <v>0.125</v>
      </c>
      <c r="L31" s="66">
        <f>INT(МДанные!$D$138/M31)</f>
        <v>159</v>
      </c>
      <c r="M31" s="70">
        <v>1</v>
      </c>
      <c r="N31" s="56" t="s">
        <v>68</v>
      </c>
      <c r="O31" s="57">
        <v>13</v>
      </c>
      <c r="P31" s="100">
        <f>P30+'2. СФ-МАШ-4 №1'!I30</f>
        <v>0</v>
      </c>
      <c r="Q31" s="101">
        <f>Q30+'3. СФ-МАШ-4 №2'!I30</f>
        <v>0</v>
      </c>
      <c r="R31" s="102">
        <f>R30+'4. СФ-МАШ-4 №3'!I30</f>
        <v>0</v>
      </c>
      <c r="S31" s="103">
        <f>S30+'5. СФ-МАШ-4 №4'!I30</f>
        <v>0</v>
      </c>
      <c r="U31" s="100">
        <f>MIN('2. СФ-МАШ-4 №1'!D31,IF('2. СФ-МАШ-4 №1'!K31=МДанные!$D$135,0,'2. СФ-МАШ-4 №1'!K31))</f>
        <v>0</v>
      </c>
      <c r="V31" s="100">
        <f t="shared" si="8"/>
        <v>0</v>
      </c>
      <c r="W31" s="101">
        <f>MIN('3. СФ-МАШ-4 №2'!D31,IF('3. СФ-МАШ-4 №2'!K31=МДанные!$D$135,0,'3. СФ-МАШ-4 №2'!K31))</f>
        <v>0</v>
      </c>
      <c r="X31" s="101">
        <f t="shared" si="9"/>
        <v>0</v>
      </c>
      <c r="Y31" s="102">
        <f>MIN('4. СФ-МАШ-4 №3'!D31,IF('4. СФ-МАШ-4 №3'!K31=МДанные!$D$135,0,'4. СФ-МАШ-4 №3'!K31))</f>
        <v>0</v>
      </c>
      <c r="Z31" s="102">
        <f t="shared" si="10"/>
        <v>0</v>
      </c>
      <c r="AA31" s="103">
        <f>MIN('5. СФ-МАШ-4 №4'!D31,IF('5. СФ-МАШ-4 №4'!K31=МДанные!$D$135,0,'5. СФ-МАШ-4 №4'!K31))</f>
        <v>0</v>
      </c>
      <c r="AB31" s="367">
        <f t="shared" si="11"/>
        <v>0</v>
      </c>
      <c r="AC31" s="56" t="s">
        <v>68</v>
      </c>
      <c r="AD31" s="100">
        <f t="shared" si="12"/>
        <v>159</v>
      </c>
      <c r="AE31" s="100">
        <f>INT((d1I-(5-P31-'2. СФ-МАШ-4 №1'!I31)*('2. СФ-МАШ-4 №1'!F31+'2. СФ-МАШ-4 №1'!G31))/'2. СФ-МАШ-4 №1'!F31)+(5-P31-'2. СФ-МАШ-4 №1'!I31)</f>
        <v>438</v>
      </c>
      <c r="AF31" s="100"/>
      <c r="AG31" s="101">
        <f t="shared" si="13"/>
        <v>159</v>
      </c>
      <c r="AH31" s="101">
        <f>INT((d2I-(5-Q31-'3. СФ-МАШ-4 №2'!I31)*('3. СФ-МАШ-4 №2'!F31+'3. СФ-МАШ-4 №2'!G31))/'3. СФ-МАШ-4 №2'!F31)+(5-Q31-'3. СФ-МАШ-4 №2'!I31)</f>
        <v>438</v>
      </c>
      <c r="AI31" s="101"/>
      <c r="AJ31" s="102">
        <f t="shared" si="14"/>
        <v>159</v>
      </c>
      <c r="AK31" s="102">
        <f>INT((d3I-(5-R31-'4. СФ-МАШ-4 №3'!I31)*('4. СФ-МАШ-4 №3'!F31+'4. СФ-МАШ-4 №3'!G31))/'4. СФ-МАШ-4 №3'!F31)+(5-R31-'4. СФ-МАШ-4 №3'!I31)</f>
        <v>438</v>
      </c>
      <c r="AL31" s="102"/>
      <c r="AM31" s="103">
        <f t="shared" si="15"/>
        <v>159</v>
      </c>
      <c r="AN31" s="103">
        <f>INT((d4I-(5-S31-'5. СФ-МАШ-4 №4'!I31)*('5. СФ-МАШ-4 №4'!F31+'5. СФ-МАШ-4 №4'!G31))/'5. СФ-МАШ-4 №4'!F31)+(5-S31-'5. СФ-МАШ-4 №4'!I31)</f>
        <v>438</v>
      </c>
      <c r="AO31" s="103"/>
    </row>
    <row r="32" spans="2:41" x14ac:dyDescent="0.25">
      <c r="B32">
        <v>32</v>
      </c>
      <c r="C32" s="49"/>
      <c r="D32" s="56" t="s">
        <v>69</v>
      </c>
      <c r="E32" s="57">
        <v>0.51</v>
      </c>
      <c r="F32" s="57">
        <v>2</v>
      </c>
      <c r="J32" s="57">
        <v>0.05</v>
      </c>
      <c r="K32" s="57">
        <v>0.13500000000000001</v>
      </c>
      <c r="L32" s="66">
        <f>INT(МДанные!$D$138/M32)</f>
        <v>159</v>
      </c>
      <c r="M32" s="70">
        <v>1</v>
      </c>
      <c r="N32" s="56" t="s">
        <v>69</v>
      </c>
      <c r="O32" s="57">
        <v>14</v>
      </c>
      <c r="P32" s="100">
        <f>P31+'2. СФ-МАШ-4 №1'!I31</f>
        <v>0</v>
      </c>
      <c r="Q32" s="101">
        <f>Q31+'3. СФ-МАШ-4 №2'!I31</f>
        <v>0</v>
      </c>
      <c r="R32" s="102">
        <f>R31+'4. СФ-МАШ-4 №3'!I31</f>
        <v>0</v>
      </c>
      <c r="S32" s="103">
        <f>S31+'5. СФ-МАШ-4 №4'!I31</f>
        <v>0</v>
      </c>
      <c r="U32" s="100">
        <f>MIN('2. СФ-МАШ-4 №1'!D32,IF('2. СФ-МАШ-4 №1'!K32=МДанные!$D$135,0,'2. СФ-МАШ-4 №1'!K32))</f>
        <v>0</v>
      </c>
      <c r="V32" s="100">
        <f t="shared" si="8"/>
        <v>0</v>
      </c>
      <c r="W32" s="101">
        <f>MIN('3. СФ-МАШ-4 №2'!D32,IF('3. СФ-МАШ-4 №2'!K32=МДанные!$D$135,0,'3. СФ-МАШ-4 №2'!K32))</f>
        <v>0</v>
      </c>
      <c r="X32" s="101">
        <f t="shared" si="9"/>
        <v>0</v>
      </c>
      <c r="Y32" s="102">
        <f>MIN('4. СФ-МАШ-4 №3'!D32,IF('4. СФ-МАШ-4 №3'!K32=МДанные!$D$135,0,'4. СФ-МАШ-4 №3'!K32))</f>
        <v>0</v>
      </c>
      <c r="Z32" s="102">
        <f t="shared" si="10"/>
        <v>0</v>
      </c>
      <c r="AA32" s="103">
        <f>MIN('5. СФ-МАШ-4 №4'!D32,IF('5. СФ-МАШ-4 №4'!K32=МДанные!$D$135,0,'5. СФ-МАШ-4 №4'!K32))</f>
        <v>0</v>
      </c>
      <c r="AB32" s="367">
        <f t="shared" si="11"/>
        <v>0</v>
      </c>
      <c r="AC32" s="56" t="s">
        <v>69</v>
      </c>
      <c r="AD32" s="100">
        <f t="shared" si="12"/>
        <v>159</v>
      </c>
      <c r="AE32" s="100">
        <f>INT((d1I-(5-P32-'2. СФ-МАШ-4 №1'!I32)*('2. СФ-МАШ-4 №1'!F32+'2. СФ-МАШ-4 №1'!G32))/'2. СФ-МАШ-4 №1'!F32)+(5-P32-'2. СФ-МАШ-4 №1'!I32)</f>
        <v>438</v>
      </c>
      <c r="AF32" s="100"/>
      <c r="AG32" s="101">
        <f t="shared" si="13"/>
        <v>159</v>
      </c>
      <c r="AH32" s="101">
        <f>INT((d2I-(5-Q32-'3. СФ-МАШ-4 №2'!I32)*('3. СФ-МАШ-4 №2'!F32+'3. СФ-МАШ-4 №2'!G32))/'3. СФ-МАШ-4 №2'!F32)+(5-Q32-'3. СФ-МАШ-4 №2'!I32)</f>
        <v>438</v>
      </c>
      <c r="AI32" s="101"/>
      <c r="AJ32" s="102">
        <f t="shared" si="14"/>
        <v>159</v>
      </c>
      <c r="AK32" s="102">
        <f>INT((d3I-(5-R32-'4. СФ-МАШ-4 №3'!I32)*('4. СФ-МАШ-4 №3'!F32+'4. СФ-МАШ-4 №3'!G32))/'4. СФ-МАШ-4 №3'!F32)+(5-R32-'4. СФ-МАШ-4 №3'!I32)</f>
        <v>438</v>
      </c>
      <c r="AL32" s="102"/>
      <c r="AM32" s="103">
        <f t="shared" si="15"/>
        <v>159</v>
      </c>
      <c r="AN32" s="103">
        <f>INT((d4I-(5-S32-'5. СФ-МАШ-4 №4'!I32)*('5. СФ-МАШ-4 №4'!F32+'5. СФ-МАШ-4 №4'!G32))/'5. СФ-МАШ-4 №4'!F32)+(5-S32-'5. СФ-МАШ-4 №4'!I32)</f>
        <v>438</v>
      </c>
      <c r="AO32" s="103"/>
    </row>
    <row r="33" spans="2:41" x14ac:dyDescent="0.25">
      <c r="B33">
        <v>33</v>
      </c>
      <c r="C33" s="49"/>
      <c r="D33" s="56" t="s">
        <v>70</v>
      </c>
      <c r="E33" s="57">
        <v>0.6</v>
      </c>
      <c r="F33" s="57">
        <v>2</v>
      </c>
      <c r="J33" s="57">
        <v>0.05</v>
      </c>
      <c r="K33" s="57">
        <v>0.13500000000000001</v>
      </c>
      <c r="L33" s="66">
        <f>INT(МДанные!$D$138/M33)</f>
        <v>79</v>
      </c>
      <c r="M33" s="70">
        <v>2</v>
      </c>
      <c r="N33" s="56" t="s">
        <v>70</v>
      </c>
      <c r="O33" s="57">
        <v>15</v>
      </c>
      <c r="P33" s="100">
        <f>P32+'2. СФ-МАШ-4 №1'!I32</f>
        <v>0</v>
      </c>
      <c r="Q33" s="101">
        <f>Q32+'3. СФ-МАШ-4 №2'!I32</f>
        <v>0</v>
      </c>
      <c r="R33" s="102">
        <f>R32+'4. СФ-МАШ-4 №3'!I32</f>
        <v>0</v>
      </c>
      <c r="S33" s="103">
        <f>S32+'5. СФ-МАШ-4 №4'!I32</f>
        <v>0</v>
      </c>
      <c r="U33" s="100">
        <f>MIN('2. СФ-МАШ-4 №1'!D33,IF('2. СФ-МАШ-4 №1'!K33=МДанные!$D$135,0,'2. СФ-МАШ-4 №1'!K33))</f>
        <v>0</v>
      </c>
      <c r="V33" s="100">
        <f t="shared" si="8"/>
        <v>0</v>
      </c>
      <c r="W33" s="101">
        <f>MIN('3. СФ-МАШ-4 №2'!D33,IF('3. СФ-МАШ-4 №2'!K33=МДанные!$D$135,0,'3. СФ-МАШ-4 №2'!K33))</f>
        <v>0</v>
      </c>
      <c r="X33" s="101">
        <f t="shared" si="9"/>
        <v>0</v>
      </c>
      <c r="Y33" s="102">
        <f>MIN('4. СФ-МАШ-4 №3'!D33,IF('4. СФ-МАШ-4 №3'!K33=МДанные!$D$135,0,'4. СФ-МАШ-4 №3'!K33))</f>
        <v>0</v>
      </c>
      <c r="Z33" s="102">
        <f t="shared" si="10"/>
        <v>0</v>
      </c>
      <c r="AA33" s="103">
        <f>MIN('5. СФ-МАШ-4 №4'!D33,IF('5. СФ-МАШ-4 №4'!K33=МДанные!$D$135,0,'5. СФ-МАШ-4 №4'!K33))</f>
        <v>0</v>
      </c>
      <c r="AB33" s="367">
        <f t="shared" si="11"/>
        <v>0</v>
      </c>
      <c r="AC33" s="56" t="s">
        <v>70</v>
      </c>
      <c r="AD33" s="100">
        <f>INT((Nax-N1am)/2)</f>
        <v>79</v>
      </c>
      <c r="AE33" s="100">
        <f>INT((d1I-(5-P33-'2. СФ-МАШ-4 №1'!I33)*('2. СФ-МАШ-4 №1'!F33+'2. СФ-МАШ-4 №1'!G33))/'2. СФ-МАШ-4 №1'!F33)+(5-P33-'2. СФ-МАШ-4 №1'!I33)</f>
        <v>372</v>
      </c>
      <c r="AF33" s="100"/>
      <c r="AG33" s="101">
        <f>INT((Nax-N2am)/2)</f>
        <v>79</v>
      </c>
      <c r="AH33" s="101">
        <f>INT((d2I-(5-Q33-'3. СФ-МАШ-4 №2'!I33)*('3. СФ-МАШ-4 №2'!F33+'3. СФ-МАШ-4 №2'!G33))/'3. СФ-МАШ-4 №2'!F33)+(5-Q33-'3. СФ-МАШ-4 №2'!I33)</f>
        <v>372</v>
      </c>
      <c r="AI33" s="101"/>
      <c r="AJ33" s="102">
        <f>INT((Nax-N3am)/2)</f>
        <v>79</v>
      </c>
      <c r="AK33" s="102">
        <f>INT((d3I-(5-R33-'4. СФ-МАШ-4 №3'!I33)*('4. СФ-МАШ-4 №3'!F33+'4. СФ-МАШ-4 №3'!G33))/'4. СФ-МАШ-4 №3'!F33)+(5-R33-'4. СФ-МАШ-4 №3'!I33)</f>
        <v>372</v>
      </c>
      <c r="AL33" s="102"/>
      <c r="AM33" s="103">
        <f>INT((Nax-N4am)/2)</f>
        <v>79</v>
      </c>
      <c r="AN33" s="103">
        <f>INT((d4I-(5-S33-'5. СФ-МАШ-4 №4'!I33)*('5. СФ-МАШ-4 №4'!F33+'5. СФ-МАШ-4 №4'!G33))/'5. СФ-МАШ-4 №4'!F33)+(5-S33-'5. СФ-МАШ-4 №4'!I33)</f>
        <v>372</v>
      </c>
      <c r="AO33" s="103"/>
    </row>
    <row r="34" spans="2:41" x14ac:dyDescent="0.25">
      <c r="B34">
        <v>34</v>
      </c>
      <c r="C34" s="49"/>
      <c r="D34" s="56" t="s">
        <v>71</v>
      </c>
      <c r="E34" s="57">
        <v>0.66</v>
      </c>
      <c r="F34" s="57">
        <v>2</v>
      </c>
      <c r="J34" s="57">
        <v>0.05</v>
      </c>
      <c r="K34" s="57">
        <v>0.13500000000000001</v>
      </c>
      <c r="L34" s="57">
        <f>INT(МДанные!$D$138/M34)</f>
        <v>53</v>
      </c>
      <c r="M34" s="70">
        <v>3</v>
      </c>
      <c r="N34" s="56" t="s">
        <v>71</v>
      </c>
      <c r="O34" s="57">
        <v>16</v>
      </c>
      <c r="P34" s="100">
        <f>P33+'2. СФ-МАШ-4 №1'!I33</f>
        <v>0</v>
      </c>
      <c r="Q34" s="101">
        <f>Q33+'3. СФ-МАШ-4 №2'!I33</f>
        <v>0</v>
      </c>
      <c r="R34" s="102">
        <f>R33+'4. СФ-МАШ-4 №3'!I33</f>
        <v>0</v>
      </c>
      <c r="S34" s="103">
        <f>S33+'5. СФ-МАШ-4 №4'!I33</f>
        <v>0</v>
      </c>
      <c r="U34" s="100">
        <f>MIN('2. СФ-МАШ-4 №1'!D34,IF('2. СФ-МАШ-4 №1'!K34=МДанные!$D$135,0,'2. СФ-МАШ-4 №1'!K34))</f>
        <v>0</v>
      </c>
      <c r="V34" s="100">
        <f t="shared" si="8"/>
        <v>0</v>
      </c>
      <c r="W34" s="101">
        <f>MIN('3. СФ-МАШ-4 №2'!D34,IF('3. СФ-МАШ-4 №2'!K34=МДанные!$D$135,0,'3. СФ-МАШ-4 №2'!K34))</f>
        <v>0</v>
      </c>
      <c r="X34" s="101">
        <f t="shared" si="9"/>
        <v>0</v>
      </c>
      <c r="Y34" s="102">
        <f>MIN('4. СФ-МАШ-4 №3'!D34,IF('4. СФ-МАШ-4 №3'!K34=МДанные!$D$135,0,'4. СФ-МАШ-4 №3'!K34))</f>
        <v>0</v>
      </c>
      <c r="Z34" s="102">
        <f t="shared" si="10"/>
        <v>0</v>
      </c>
      <c r="AA34" s="103">
        <f>MIN('5. СФ-МАШ-4 №4'!D34,IF('5. СФ-МАШ-4 №4'!K34=МДанные!$D$135,0,'5. СФ-МАШ-4 №4'!K34))</f>
        <v>0</v>
      </c>
      <c r="AB34" s="367">
        <f t="shared" si="11"/>
        <v>0</v>
      </c>
      <c r="AC34" s="56" t="s">
        <v>71</v>
      </c>
      <c r="AD34" s="100">
        <f>INT((Nax-N1am)/3)</f>
        <v>53</v>
      </c>
      <c r="AE34" s="100">
        <f>INT((d1I-(5-P34-'2. СФ-МАШ-4 №1'!I34)*('2. СФ-МАШ-4 №1'!F34+'2. СФ-МАШ-4 №1'!G34))/'2. СФ-МАШ-4 №1'!F34)+(5-P34-'2. СФ-МАШ-4 №1'!I34)</f>
        <v>338</v>
      </c>
      <c r="AF34" s="100"/>
      <c r="AG34" s="101">
        <f>INT((Nax-N2am)/3)</f>
        <v>53</v>
      </c>
      <c r="AH34" s="101">
        <f>INT((d2I-(5-Q34-'3. СФ-МАШ-4 №2'!I34)*('3. СФ-МАШ-4 №2'!F34+'3. СФ-МАШ-4 №2'!G34))/'3. СФ-МАШ-4 №2'!F34)+(5-Q34-'3. СФ-МАШ-4 №2'!I34)</f>
        <v>338</v>
      </c>
      <c r="AI34" s="101"/>
      <c r="AJ34" s="102">
        <f>INT((Nax-N3am)/3)</f>
        <v>53</v>
      </c>
      <c r="AK34" s="102">
        <f>INT((d3I-(5-R34-'4. СФ-МАШ-4 №3'!I34)*('4. СФ-МАШ-4 №3'!F34+'4. СФ-МАШ-4 №3'!G34))/'4. СФ-МАШ-4 №3'!F34)+(5-R34-'4. СФ-МАШ-4 №3'!I34)</f>
        <v>338</v>
      </c>
      <c r="AL34" s="102"/>
      <c r="AM34" s="103">
        <f>INT((Nax-N4am)/3)</f>
        <v>53</v>
      </c>
      <c r="AN34" s="103">
        <f>INT((d4I-(5-S34-'5. СФ-МАШ-4 №4'!I34)*('5. СФ-МАШ-4 №4'!F34+'5. СФ-МАШ-4 №4'!G34))/'5. СФ-МАШ-4 №4'!F34)+(5-S34-'5. СФ-МАШ-4 №4'!I34)</f>
        <v>338</v>
      </c>
      <c r="AO34" s="103"/>
    </row>
    <row r="35" spans="2:41" x14ac:dyDescent="0.25">
      <c r="B35">
        <v>35</v>
      </c>
      <c r="C35" s="150" t="s">
        <v>193</v>
      </c>
      <c r="D35" s="56" t="s">
        <v>72</v>
      </c>
      <c r="E35" s="57">
        <v>0.5</v>
      </c>
      <c r="F35" s="57">
        <v>2</v>
      </c>
      <c r="J35" s="57">
        <v>0.05</v>
      </c>
      <c r="K35" s="57">
        <v>0.185</v>
      </c>
      <c r="L35" s="66">
        <f>INT(МДанные!$D$138/M35)</f>
        <v>159</v>
      </c>
      <c r="M35" s="70">
        <v>1</v>
      </c>
      <c r="N35" s="56" t="s">
        <v>72</v>
      </c>
      <c r="O35" s="57">
        <v>17</v>
      </c>
      <c r="P35" s="100">
        <f>P34+'2. СФ-МАШ-4 №1'!I34</f>
        <v>0</v>
      </c>
      <c r="Q35" s="101">
        <f>Q34+'3. СФ-МАШ-4 №2'!I34</f>
        <v>0</v>
      </c>
      <c r="R35" s="102">
        <f>R34+'4. СФ-МАШ-4 №3'!I34</f>
        <v>0</v>
      </c>
      <c r="S35" s="103">
        <f>S34+'5. СФ-МАШ-4 №4'!I34</f>
        <v>0</v>
      </c>
      <c r="T35" t="s">
        <v>193</v>
      </c>
      <c r="U35" s="100">
        <f>MIN('2. СФ-МАШ-4 №1'!D35,IF('2. СФ-МАШ-4 №1'!K35=МДанные!$D$135,0,'2. СФ-МАШ-4 №1'!K35))</f>
        <v>0</v>
      </c>
      <c r="V35" s="100">
        <f t="shared" si="8"/>
        <v>0</v>
      </c>
      <c r="W35" s="101">
        <f>MIN('3. СФ-МАШ-4 №2'!D35,IF('3. СФ-МАШ-4 №2'!K35=МДанные!$D$135,0,'3. СФ-МАШ-4 №2'!K35))</f>
        <v>0</v>
      </c>
      <c r="X35" s="101">
        <f t="shared" si="9"/>
        <v>0</v>
      </c>
      <c r="Y35" s="102">
        <f>MIN('4. СФ-МАШ-4 №3'!D35,IF('4. СФ-МАШ-4 №3'!K35=МДанные!$D$135,0,'4. СФ-МАШ-4 №3'!K35))</f>
        <v>0</v>
      </c>
      <c r="Z35" s="102">
        <f t="shared" si="10"/>
        <v>0</v>
      </c>
      <c r="AA35" s="103">
        <f>MIN('5. СФ-МАШ-4 №4'!D35,IF('5. СФ-МАШ-4 №4'!K35=МДанные!$D$135,0,'5. СФ-МАШ-4 №4'!K35))</f>
        <v>0</v>
      </c>
      <c r="AB35" s="367">
        <f t="shared" si="11"/>
        <v>0</v>
      </c>
      <c r="AC35" s="56" t="s">
        <v>72</v>
      </c>
      <c r="AD35" s="100">
        <f>Nax-N1am</f>
        <v>159</v>
      </c>
      <c r="AE35" s="100">
        <f>INT((d1I-(5-P35-'2. СФ-МАШ-4 №1'!I35)*('2. СФ-МАШ-4 №1'!F35+'2. СФ-МАШ-4 №1'!G35))/'2. СФ-МАШ-4 №1'!F35)+(5-P35-'2. СФ-МАШ-4 №1'!I35)</f>
        <v>447</v>
      </c>
      <c r="AF35" s="100"/>
      <c r="AG35" s="101">
        <f>Nax-N2am</f>
        <v>159</v>
      </c>
      <c r="AH35" s="101">
        <f>INT((d2I-(5-Q35-'3. СФ-МАШ-4 №2'!I35)*('3. СФ-МАШ-4 №2'!F35+'3. СФ-МАШ-4 №2'!G35))/'3. СФ-МАШ-4 №2'!F35)+(5-Q35-'3. СФ-МАШ-4 №2'!I35)</f>
        <v>447</v>
      </c>
      <c r="AI35" s="101"/>
      <c r="AJ35" s="102">
        <f>Nax-N3am</f>
        <v>159</v>
      </c>
      <c r="AK35" s="102">
        <f>INT((d3I-(5-R35-'4. СФ-МАШ-4 №3'!I35)*('4. СФ-МАШ-4 №3'!F35+'4. СФ-МАШ-4 №3'!G35))/'4. СФ-МАШ-4 №3'!F35)+(5-R35-'4. СФ-МАШ-4 №3'!I35)</f>
        <v>447</v>
      </c>
      <c r="AL35" s="102"/>
      <c r="AM35" s="103">
        <f>Nax-N4am</f>
        <v>159</v>
      </c>
      <c r="AN35" s="103">
        <f>INT((d4I-(5-S35-'5. СФ-МАШ-4 №4'!I35)*('5. СФ-МАШ-4 №4'!F35+'5. СФ-МАШ-4 №4'!G35))/'5. СФ-МАШ-4 №4'!F35)+(5-S35-'5. СФ-МАШ-4 №4'!I35)</f>
        <v>447</v>
      </c>
      <c r="AO35" s="103"/>
    </row>
    <row r="36" spans="2:41" x14ac:dyDescent="0.25">
      <c r="B36">
        <v>36</v>
      </c>
      <c r="C36" s="151" t="s">
        <v>197</v>
      </c>
      <c r="D36" s="56" t="s">
        <v>72</v>
      </c>
      <c r="E36" s="66">
        <v>0.5</v>
      </c>
      <c r="F36" s="66">
        <v>2</v>
      </c>
      <c r="J36" s="66">
        <v>0.05</v>
      </c>
      <c r="K36" s="66">
        <v>0.185</v>
      </c>
      <c r="L36" s="66">
        <f>INT(МДанные!$D$138/M36)</f>
        <v>159</v>
      </c>
      <c r="M36" s="70">
        <v>1</v>
      </c>
      <c r="N36" s="56" t="s">
        <v>72</v>
      </c>
      <c r="O36" s="66">
        <v>18</v>
      </c>
      <c r="P36" s="100">
        <f>P35+'2. СФ-МАШ-4 №1'!I35</f>
        <v>0</v>
      </c>
      <c r="Q36" s="101">
        <f>Q35+'3. СФ-МАШ-4 №2'!I35</f>
        <v>0</v>
      </c>
      <c r="R36" s="102">
        <f>R35+'4. СФ-МАШ-4 №3'!I35</f>
        <v>0</v>
      </c>
      <c r="S36" s="103">
        <f>S35+'5. СФ-МАШ-4 №4'!I35</f>
        <v>0</v>
      </c>
      <c r="T36" t="s">
        <v>197</v>
      </c>
      <c r="U36" s="100">
        <f>MIN('2. СФ-МАШ-4 №1'!D36,IF('2. СФ-МАШ-4 №1'!K36=МДанные!$D$135,0,'2. СФ-МАШ-4 №1'!K36))</f>
        <v>0</v>
      </c>
      <c r="V36" s="100">
        <f t="shared" si="8"/>
        <v>0</v>
      </c>
      <c r="W36" s="101">
        <f>MIN('3. СФ-МАШ-4 №2'!D36,IF('3. СФ-МАШ-4 №2'!K36=МДанные!$D$135,0,'3. СФ-МАШ-4 №2'!K36))</f>
        <v>0</v>
      </c>
      <c r="X36" s="101">
        <f t="shared" si="9"/>
        <v>0</v>
      </c>
      <c r="Y36" s="102">
        <f>MIN('4. СФ-МАШ-4 №3'!D36,IF('4. СФ-МАШ-4 №3'!K36=МДанные!$D$135,0,'4. СФ-МАШ-4 №3'!K36))</f>
        <v>0</v>
      </c>
      <c r="Z36" s="102">
        <f t="shared" si="10"/>
        <v>0</v>
      </c>
      <c r="AA36" s="103">
        <f>MIN('5. СФ-МАШ-4 №4'!D36,IF('5. СФ-МАШ-4 №4'!K36=МДанные!$D$135,0,'5. СФ-МАШ-4 №4'!K36))</f>
        <v>0</v>
      </c>
      <c r="AB36" s="367">
        <f t="shared" si="11"/>
        <v>0</v>
      </c>
      <c r="AC36" s="56" t="s">
        <v>72</v>
      </c>
      <c r="AD36" s="100">
        <f>Nax-N1am</f>
        <v>159</v>
      </c>
      <c r="AE36" s="100">
        <f>INT((d1I-(5-$P36-'2. СФ-МАШ-4 №1'!I36)*('2. СФ-МАШ-4 №1'!F36+'2. СФ-МАШ-4 №1'!G36))/('2. СФ-МАШ-4 №1'!F36+$D$77*$E$87))+(5-$P36-'2. СФ-МАШ-4 №1'!I36)</f>
        <v>6</v>
      </c>
      <c r="AF36" s="100"/>
      <c r="AG36" s="101">
        <f>Nax-N2am</f>
        <v>159</v>
      </c>
      <c r="AH36" s="101">
        <f>INT((d2I-(5-$Q36-'3. СФ-МАШ-4 №2'!I36)*('3. СФ-МАШ-4 №2'!F36+'3. СФ-МАШ-4 №2'!G36))/('3. СФ-МАШ-4 №2'!F36+$D$77*$E$87))+(5-$Q36-'3. СФ-МАШ-4 №2'!I36)</f>
        <v>6</v>
      </c>
      <c r="AI36" s="101"/>
      <c r="AJ36" s="102">
        <f>Nax-N3am</f>
        <v>159</v>
      </c>
      <c r="AK36" s="102">
        <f>INT((d3I-(5-$R36-'4. СФ-МАШ-4 №3'!I36)*('4. СФ-МАШ-4 №3'!F36+'4. СФ-МАШ-4 №3'!G36))/('4. СФ-МАШ-4 №3'!F36+$D$77*$E$87))+(5-$R36-'4. СФ-МАШ-4 №3'!I36)</f>
        <v>6</v>
      </c>
      <c r="AL36" s="102"/>
      <c r="AM36" s="103">
        <f>Nax-N4am</f>
        <v>159</v>
      </c>
      <c r="AN36" s="103">
        <f>INT((d4I-(5-$S36-'5. СФ-МАШ-4 №4'!I36)*('5. СФ-МАШ-4 №4'!F36+'5. СФ-МАШ-4 №4'!G36))/('5. СФ-МАШ-4 №4'!F36+$D$77*$E$87))+(5-$S36-'5. СФ-МАШ-4 №4'!I36)</f>
        <v>6</v>
      </c>
      <c r="AO36" s="103"/>
    </row>
    <row r="37" spans="2:41" x14ac:dyDescent="0.25">
      <c r="B37">
        <v>37</v>
      </c>
      <c r="C37" s="49"/>
      <c r="D37" s="56" t="s">
        <v>365</v>
      </c>
      <c r="E37" s="66">
        <v>1.1000000000000001</v>
      </c>
      <c r="F37" s="66">
        <v>0</v>
      </c>
      <c r="J37" s="66">
        <v>0</v>
      </c>
      <c r="K37" s="66">
        <v>0</v>
      </c>
      <c r="L37" s="66">
        <f>INT(МДанные!$D$138/M37)</f>
        <v>31</v>
      </c>
      <c r="M37" s="70">
        <v>5</v>
      </c>
      <c r="N37" s="56" t="s">
        <v>365</v>
      </c>
      <c r="O37" s="66">
        <v>0</v>
      </c>
      <c r="P37" s="100"/>
      <c r="Q37" s="101"/>
      <c r="R37" s="102"/>
      <c r="S37" s="103"/>
      <c r="U37" s="100">
        <f>MIN('2. СФ-МАШ-4 №1'!D38,IF('2. СФ-МАШ-4 №1'!J38=МДанные!$D$135,0,'2. СФ-МАШ-4 №1'!J38))</f>
        <v>0</v>
      </c>
      <c r="V37" s="100">
        <f t="shared" si="8"/>
        <v>0</v>
      </c>
      <c r="W37" s="101">
        <f>MIN('3. СФ-МАШ-4 №2'!D37,IF('3. СФ-МАШ-4 №2'!K37=МДанные!$D$135,0,'3. СФ-МАШ-4 №2'!K37))</f>
        <v>0</v>
      </c>
      <c r="X37" s="101">
        <f t="shared" si="9"/>
        <v>0</v>
      </c>
      <c r="Y37" s="102">
        <f>MIN('4. СФ-МАШ-4 №3'!D37,IF('4. СФ-МАШ-4 №3'!K37=МДанные!$D$135,0,'4. СФ-МАШ-4 №3'!K37))</f>
        <v>0</v>
      </c>
      <c r="Z37" s="102">
        <f t="shared" si="10"/>
        <v>0</v>
      </c>
      <c r="AA37" s="103">
        <f>MIN('5. СФ-МАШ-4 №4'!D37,IF('5. СФ-МАШ-4 №4'!K37=МДанные!$D$135,0,'5. СФ-МАШ-4 №4'!K37))</f>
        <v>0</v>
      </c>
      <c r="AB37" s="367">
        <f t="shared" si="11"/>
        <v>0</v>
      </c>
      <c r="AC37" s="56" t="s">
        <v>365</v>
      </c>
      <c r="AD37" s="100">
        <f>INT((Nax-N1am)/5)</f>
        <v>31</v>
      </c>
      <c r="AE37" s="100">
        <f>INT((d1I-(5-P37-'2. СФ-МАШ-4 №1'!I37)*('2. СФ-МАШ-4 №1'!F37+'2. СФ-МАШ-4 №1'!G37))/'2. СФ-МАШ-4 №1'!F37)+(5-P37-'2. СФ-МАШ-4 №1'!I37)</f>
        <v>97</v>
      </c>
      <c r="AF37" s="100"/>
      <c r="AG37" s="101">
        <f>INT((Nax-N2am)/5)</f>
        <v>31</v>
      </c>
      <c r="AH37" s="101">
        <f>INT((d2I-(5-Q37-'3. СФ-МАШ-4 №2'!I37)*('3. СФ-МАШ-4 №2'!F37+'3. СФ-МАШ-4 №2'!G37))/'3. СФ-МАШ-4 №2'!F37)+(5-Q37-'3. СФ-МАШ-4 №2'!I37)</f>
        <v>97</v>
      </c>
      <c r="AI37" s="101"/>
      <c r="AJ37" s="102">
        <f>INT((Nax-N3am)/5)</f>
        <v>31</v>
      </c>
      <c r="AK37" s="102">
        <f>INT((d3I-(5-R37-'4. СФ-МАШ-4 №3'!I37)*('4. СФ-МАШ-4 №3'!F37+'4. СФ-МАШ-4 №3'!G37))/'4. СФ-МАШ-4 №3'!F37)+(5-R37-'4. СФ-МАШ-4 №3'!I37)</f>
        <v>97</v>
      </c>
      <c r="AL37" s="102"/>
      <c r="AM37" s="103">
        <f>INT((Nax-N4am)/5)</f>
        <v>31</v>
      </c>
      <c r="AN37" s="103">
        <f>INT((d4I-(5-S37-'5. СФ-МАШ-4 №4'!I37)*('5. СФ-МАШ-4 №4'!F37+'5. СФ-МАШ-4 №4'!G37))/'5. СФ-МАШ-4 №4'!F37)+(5-S37-'5. СФ-МАШ-4 №4'!I37)</f>
        <v>97</v>
      </c>
      <c r="AO37" s="103"/>
    </row>
    <row r="38" spans="2:41" x14ac:dyDescent="0.25">
      <c r="B38">
        <v>38</v>
      </c>
      <c r="C38" s="49"/>
      <c r="D38" s="53" t="s">
        <v>31</v>
      </c>
      <c r="E38" s="54"/>
      <c r="F38" s="54"/>
      <c r="J38" s="54"/>
      <c r="K38" s="54"/>
      <c r="L38" s="55"/>
      <c r="M38" s="71"/>
      <c r="N38" s="53" t="s">
        <v>31</v>
      </c>
      <c r="O38" s="54"/>
      <c r="P38" s="100"/>
      <c r="Q38" s="101"/>
      <c r="R38" s="102"/>
      <c r="S38" s="103"/>
      <c r="U38" s="100"/>
      <c r="V38" s="100"/>
      <c r="W38" s="101"/>
      <c r="X38" s="101"/>
      <c r="Y38" s="102"/>
      <c r="Z38" s="102"/>
      <c r="AA38" s="103"/>
      <c r="AB38" s="367"/>
      <c r="AC38" s="53" t="s">
        <v>31</v>
      </c>
      <c r="AD38" s="100"/>
      <c r="AE38" s="100"/>
      <c r="AF38" s="100"/>
      <c r="AG38" s="101"/>
      <c r="AH38" s="101"/>
      <c r="AI38" s="101"/>
      <c r="AJ38" s="102"/>
      <c r="AK38" s="102"/>
      <c r="AL38" s="102"/>
      <c r="AM38" s="103"/>
      <c r="AN38" s="103"/>
      <c r="AO38" s="103"/>
    </row>
    <row r="39" spans="2:41" x14ac:dyDescent="0.25">
      <c r="B39">
        <v>39</v>
      </c>
      <c r="C39" s="49"/>
      <c r="D39" s="56" t="s">
        <v>73</v>
      </c>
      <c r="E39" s="57">
        <v>0.32</v>
      </c>
      <c r="F39" s="100">
        <f>VLOOKUP('2. СФ-МАШ-4 №1'!L39,$J$74:$K$137,2,FALSE)</f>
        <v>2.5</v>
      </c>
      <c r="G39" s="101">
        <f>VLOOKUP('3. СФ-МАШ-4 №2'!L39,$J$74:$K$137,2,FALSE)</f>
        <v>2.5</v>
      </c>
      <c r="H39" s="102">
        <f>VLOOKUP('4. СФ-МАШ-4 №3'!L39,$J$74:$K$137,2,FALSE)</f>
        <v>2.5</v>
      </c>
      <c r="I39" s="103">
        <f>VLOOKUP('5. СФ-МАШ-4 №4'!L39,$J$74:$K$137,2,FALSE)</f>
        <v>2.5</v>
      </c>
      <c r="J39" s="57">
        <v>0.19</v>
      </c>
      <c r="K39" s="57">
        <v>0.11</v>
      </c>
      <c r="L39" s="66">
        <f>INT(МДанные!$D$138/M39)</f>
        <v>159</v>
      </c>
      <c r="M39" s="70">
        <v>1</v>
      </c>
      <c r="N39" s="56" t="s">
        <v>73</v>
      </c>
      <c r="O39" s="57">
        <v>0</v>
      </c>
      <c r="P39" s="100"/>
      <c r="Q39" s="101"/>
      <c r="R39" s="102"/>
      <c r="S39" s="103"/>
      <c r="U39" s="100">
        <f>MIN('2. СФ-МАШ-4 №1'!D39,IF('2. СФ-МАШ-4 №1'!K39=МДанные!$D$135,0,'2. СФ-МАШ-4 №1'!K39))</f>
        <v>0</v>
      </c>
      <c r="V39" s="100">
        <f t="shared" ref="V39:V55" si="16">U39*K39</f>
        <v>0</v>
      </c>
      <c r="W39" s="101">
        <f>MIN('3. СФ-МАШ-4 №2'!D39,IF('3. СФ-МАШ-4 №2'!K39=МДанные!$D$135,0,'3. СФ-МАШ-4 №2'!K39))</f>
        <v>0</v>
      </c>
      <c r="X39" s="101">
        <f t="shared" ref="X39:X55" si="17">W39*K39</f>
        <v>0</v>
      </c>
      <c r="Y39" s="102">
        <f>MIN('4. СФ-МАШ-4 №3'!D39,IF('4. СФ-МАШ-4 №3'!K39=МДанные!$D$135,0,'4. СФ-МАШ-4 №3'!K39))</f>
        <v>0</v>
      </c>
      <c r="Z39" s="102">
        <f t="shared" ref="Z39:Z55" si="18">Y39*K39</f>
        <v>0</v>
      </c>
      <c r="AA39" s="103">
        <f>MIN('5. СФ-МАШ-4 №4'!D39,IF('5. СФ-МАШ-4 №4'!K39=МДанные!$D$135,0,'5. СФ-МАШ-4 №4'!K39))</f>
        <v>0</v>
      </c>
      <c r="AB39" s="367">
        <f t="shared" ref="AB39:AB55" si="19">AA39*K39</f>
        <v>0</v>
      </c>
      <c r="AC39" s="56" t="s">
        <v>73</v>
      </c>
      <c r="AD39" s="100">
        <f t="shared" ref="AD39:AD55" si="20">Nax-N1am</f>
        <v>159</v>
      </c>
      <c r="AE39" s="100">
        <f>INT(d1I/('2. СФ-МАШ-4 №1'!F39+'2. СФ-МАШ-4 №1'!G39))</f>
        <v>82</v>
      </c>
      <c r="AF39" s="100"/>
      <c r="AG39" s="101">
        <f t="shared" ref="AG39:AG55" si="21">Nax-N2am</f>
        <v>159</v>
      </c>
      <c r="AH39" s="101">
        <f>INT(d2I/('3. СФ-МАШ-4 №2'!F39+'3. СФ-МАШ-4 №2'!G39))</f>
        <v>82</v>
      </c>
      <c r="AI39" s="101"/>
      <c r="AJ39" s="102">
        <f t="shared" ref="AJ39:AJ55" si="22">Nax-N3am</f>
        <v>159</v>
      </c>
      <c r="AK39" s="102">
        <f>INT(d3I/('4. СФ-МАШ-4 №3'!F39+'4. СФ-МАШ-4 №3'!G39))</f>
        <v>82</v>
      </c>
      <c r="AL39" s="102"/>
      <c r="AM39" s="103">
        <f t="shared" ref="AM39:AM55" si="23">Nax-N4am</f>
        <v>159</v>
      </c>
      <c r="AN39" s="103">
        <f>INT(d4I/('5. СФ-МАШ-4 №4'!F39+'5. СФ-МАШ-4 №4'!G39))</f>
        <v>82</v>
      </c>
      <c r="AO39" s="103"/>
    </row>
    <row r="40" spans="2:41" x14ac:dyDescent="0.25">
      <c r="B40">
        <v>40</v>
      </c>
      <c r="C40" s="49"/>
      <c r="D40" s="56"/>
      <c r="E40" s="66">
        <v>0.32</v>
      </c>
      <c r="F40" s="100">
        <f>VLOOKUP('2. СФ-МАШ-4 №1'!L40,$J$74:$K$137,2,FALSE)</f>
        <v>6</v>
      </c>
      <c r="G40" s="101">
        <f>VLOOKUP('3. СФ-МАШ-4 №2'!L40,$J$74:$K$137,2,FALSE)</f>
        <v>6</v>
      </c>
      <c r="H40" s="102">
        <f>VLOOKUP('4. СФ-МАШ-4 №3'!L40,$J$74:$K$137,2,FALSE)</f>
        <v>6</v>
      </c>
      <c r="I40" s="103">
        <f>VLOOKUP('5. СФ-МАШ-4 №4'!L40,$J$74:$K$137,2,FALSE)</f>
        <v>6</v>
      </c>
      <c r="J40" s="66">
        <v>0.19</v>
      </c>
      <c r="K40" s="66">
        <v>0.11</v>
      </c>
      <c r="L40" s="66">
        <f>INT(МДанные!$D$138/M40)</f>
        <v>159</v>
      </c>
      <c r="M40" s="70">
        <v>1</v>
      </c>
      <c r="N40" s="56"/>
      <c r="O40" s="66">
        <v>0</v>
      </c>
      <c r="P40" s="100"/>
      <c r="Q40" s="101"/>
      <c r="R40" s="102"/>
      <c r="S40" s="103"/>
      <c r="U40" s="100">
        <f>MIN('2. СФ-МАШ-4 №1'!D40,IF('2. СФ-МАШ-4 №1'!K40=МДанные!$D$135,0,'2. СФ-МАШ-4 №1'!K40))</f>
        <v>0</v>
      </c>
      <c r="V40" s="100">
        <f t="shared" si="16"/>
        <v>0</v>
      </c>
      <c r="W40" s="101">
        <f>MIN('3. СФ-МАШ-4 №2'!D40,IF('3. СФ-МАШ-4 №2'!K40=МДанные!$D$135,0,'3. СФ-МАШ-4 №2'!K40))</f>
        <v>0</v>
      </c>
      <c r="X40" s="101">
        <f t="shared" si="17"/>
        <v>0</v>
      </c>
      <c r="Y40" s="102">
        <f>MIN('4. СФ-МАШ-4 №3'!D40,IF('4. СФ-МАШ-4 №3'!K40=МДанные!$D$135,0,'4. СФ-МАШ-4 №3'!K40))</f>
        <v>0</v>
      </c>
      <c r="Z40" s="102">
        <f t="shared" si="18"/>
        <v>0</v>
      </c>
      <c r="AA40" s="103">
        <f>MIN('5. СФ-МАШ-4 №4'!D40,IF('5. СФ-МАШ-4 №4'!K40=МДанные!$D$135,0,'5. СФ-МАШ-4 №4'!K40))</f>
        <v>0</v>
      </c>
      <c r="AB40" s="367">
        <f t="shared" si="19"/>
        <v>0</v>
      </c>
      <c r="AC40" s="56"/>
      <c r="AD40" s="100">
        <f t="shared" si="20"/>
        <v>159</v>
      </c>
      <c r="AE40" s="100">
        <f>INT(d1I/('2. СФ-МАШ-4 №1'!F40+'2. СФ-МАШ-4 №1'!G40))</f>
        <v>36</v>
      </c>
      <c r="AF40" s="100"/>
      <c r="AG40" s="101">
        <f t="shared" si="21"/>
        <v>159</v>
      </c>
      <c r="AH40" s="101">
        <f>INT(d2I/('3. СФ-МАШ-4 №2'!F40+'3. СФ-МАШ-4 №2'!G40))</f>
        <v>36</v>
      </c>
      <c r="AI40" s="101"/>
      <c r="AJ40" s="102">
        <f t="shared" si="22"/>
        <v>159</v>
      </c>
      <c r="AK40" s="102">
        <f>INT(d3I/('4. СФ-МАШ-4 №3'!F40+'4. СФ-МАШ-4 №3'!G40))</f>
        <v>36</v>
      </c>
      <c r="AL40" s="102"/>
      <c r="AM40" s="103">
        <f t="shared" si="23"/>
        <v>159</v>
      </c>
      <c r="AN40" s="103">
        <f>INT(d4I/('5. СФ-МАШ-4 №4'!F40+'5. СФ-МАШ-4 №4'!G40))</f>
        <v>36</v>
      </c>
      <c r="AO40" s="103"/>
    </row>
    <row r="41" spans="2:41" x14ac:dyDescent="0.25">
      <c r="B41">
        <v>41</v>
      </c>
      <c r="C41" s="49"/>
      <c r="D41" s="56" t="s">
        <v>74</v>
      </c>
      <c r="E41" s="66">
        <v>0.32</v>
      </c>
      <c r="F41" s="100">
        <f>VLOOKUP('2. СФ-МАШ-4 №1'!L41,$J$74:$K$137,2,FALSE)</f>
        <v>2.5</v>
      </c>
      <c r="G41" s="101">
        <f>VLOOKUP('3. СФ-МАШ-4 №2'!L41,$J$74:$K$137,2,FALSE)</f>
        <v>2.5</v>
      </c>
      <c r="H41" s="102">
        <f>VLOOKUP('4. СФ-МАШ-4 №3'!L41,$J$74:$K$137,2,FALSE)</f>
        <v>2.5</v>
      </c>
      <c r="I41" s="103">
        <f>VLOOKUP('5. СФ-МАШ-4 №4'!L41,$J$74:$K$137,2,FALSE)</f>
        <v>2.5</v>
      </c>
      <c r="J41" s="66">
        <v>0.19</v>
      </c>
      <c r="K41" s="66">
        <v>0.11</v>
      </c>
      <c r="L41" s="66">
        <f>INT(МДанные!$D$138/M41)</f>
        <v>159</v>
      </c>
      <c r="M41" s="70">
        <v>1</v>
      </c>
      <c r="N41" s="56" t="s">
        <v>74</v>
      </c>
      <c r="O41" s="66">
        <v>0</v>
      </c>
      <c r="P41" s="100"/>
      <c r="Q41" s="101"/>
      <c r="R41" s="102"/>
      <c r="S41" s="103"/>
      <c r="U41" s="100">
        <f>MIN('2. СФ-МАШ-4 №1'!D41,IF('2. СФ-МАШ-4 №1'!K41=МДанные!$D$135,0,'2. СФ-МАШ-4 №1'!K41))</f>
        <v>0</v>
      </c>
      <c r="V41" s="100">
        <f t="shared" si="16"/>
        <v>0</v>
      </c>
      <c r="W41" s="101">
        <f>MIN('3. СФ-МАШ-4 №2'!D41,IF('3. СФ-МАШ-4 №2'!K41=МДанные!$D$135,0,'3. СФ-МАШ-4 №2'!K41))</f>
        <v>0</v>
      </c>
      <c r="X41" s="101">
        <f t="shared" si="17"/>
        <v>0</v>
      </c>
      <c r="Y41" s="102">
        <f>MIN('4. СФ-МАШ-4 №3'!D41,IF('4. СФ-МАШ-4 №3'!K41=МДанные!$D$135,0,'4. СФ-МАШ-4 №3'!K41))</f>
        <v>0</v>
      </c>
      <c r="Z41" s="102">
        <f t="shared" si="18"/>
        <v>0</v>
      </c>
      <c r="AA41" s="103">
        <f>MIN('5. СФ-МАШ-4 №4'!D41,IF('5. СФ-МАШ-4 №4'!K41=МДанные!$D$135,0,'5. СФ-МАШ-4 №4'!K41))</f>
        <v>0</v>
      </c>
      <c r="AB41" s="367">
        <f t="shared" si="19"/>
        <v>0</v>
      </c>
      <c r="AC41" s="56" t="s">
        <v>74</v>
      </c>
      <c r="AD41" s="100">
        <f t="shared" si="20"/>
        <v>159</v>
      </c>
      <c r="AE41" s="100">
        <f>INT((d1I-MAX(2-'2. СФ-МАШ-4 №1'!$D$93,0)*15)/('2. СФ-МАШ-4 №1'!F41+'2. СФ-МАШ-4 №1'!G41))</f>
        <v>67</v>
      </c>
      <c r="AF41" s="100">
        <f>INT((N1u-Nix*N1i)/(Nix-1))</f>
        <v>0</v>
      </c>
      <c r="AG41" s="101">
        <f t="shared" si="21"/>
        <v>159</v>
      </c>
      <c r="AH41" s="101">
        <f>INT((d2I-MAX(2-'3. СФ-МАШ-4 №2'!$D$93,0)*15)/('3. СФ-МАШ-4 №2'!F41+'3. СФ-МАШ-4 №2'!G41))</f>
        <v>67</v>
      </c>
      <c r="AI41" s="101">
        <f>INT((N2u-Nix*N2i)/(Nix-1))</f>
        <v>0</v>
      </c>
      <c r="AJ41" s="102">
        <f t="shared" si="22"/>
        <v>159</v>
      </c>
      <c r="AK41" s="102">
        <f>INT((d3I-MAX(2-'4. СФ-МАШ-4 №3'!$D$93,0)*15)/('4. СФ-МАШ-4 №3'!F41+'4. СФ-МАШ-4 №3'!G41))</f>
        <v>67</v>
      </c>
      <c r="AL41" s="102">
        <f>INT((N3u-Nix*N3i)/(Nix-1))</f>
        <v>0</v>
      </c>
      <c r="AM41" s="103">
        <f t="shared" si="23"/>
        <v>159</v>
      </c>
      <c r="AN41" s="103">
        <f>INT((d4I-MAX(2-'5. СФ-МАШ-4 №4'!$D$93,0)*15)/('5. СФ-МАШ-4 №4'!F41+'5. СФ-МАШ-4 №4'!G41))</f>
        <v>67</v>
      </c>
      <c r="AO41" s="103">
        <f>INT((N4u-Nix*N4i)/(Nix-1))</f>
        <v>0</v>
      </c>
    </row>
    <row r="42" spans="2:41" x14ac:dyDescent="0.25">
      <c r="B42">
        <v>42</v>
      </c>
      <c r="C42" s="49"/>
      <c r="D42" s="56"/>
      <c r="E42" s="66">
        <v>0.32</v>
      </c>
      <c r="F42" s="100">
        <f>VLOOKUP('2. СФ-МАШ-4 №1'!L42,$J$74:$K$137,2,FALSE)</f>
        <v>6</v>
      </c>
      <c r="G42" s="101">
        <f>VLOOKUP('3. СФ-МАШ-4 №2'!L42,$J$74:$K$137,2,FALSE)</f>
        <v>6</v>
      </c>
      <c r="H42" s="102">
        <f>VLOOKUP('4. СФ-МАШ-4 №3'!L42,$J$74:$K$137,2,FALSE)</f>
        <v>6</v>
      </c>
      <c r="I42" s="103">
        <f>VLOOKUP('5. СФ-МАШ-4 №4'!L42,$J$74:$K$137,2,FALSE)</f>
        <v>6</v>
      </c>
      <c r="J42" s="66">
        <v>0.19</v>
      </c>
      <c r="K42" s="66">
        <v>0.11</v>
      </c>
      <c r="L42" s="66">
        <f>INT(МДанные!$D$138/M42)</f>
        <v>159</v>
      </c>
      <c r="M42" s="70">
        <v>1</v>
      </c>
      <c r="N42" s="56"/>
      <c r="O42" s="66">
        <v>0</v>
      </c>
      <c r="P42" s="100"/>
      <c r="Q42" s="101"/>
      <c r="R42" s="102"/>
      <c r="S42" s="103"/>
      <c r="U42" s="100">
        <f>MIN('2. СФ-МАШ-4 №1'!D42,IF('2. СФ-МАШ-4 №1'!K42=МДанные!$D$135,0,'2. СФ-МАШ-4 №1'!K42))</f>
        <v>0</v>
      </c>
      <c r="V42" s="100">
        <f t="shared" si="16"/>
        <v>0</v>
      </c>
      <c r="W42" s="101">
        <f>MIN('3. СФ-МАШ-4 №2'!D42,IF('3. СФ-МАШ-4 №2'!K42=МДанные!$D$135,0,'3. СФ-МАШ-4 №2'!K42))</f>
        <v>0</v>
      </c>
      <c r="X42" s="101">
        <f t="shared" si="17"/>
        <v>0</v>
      </c>
      <c r="Y42" s="102">
        <f>MIN('4. СФ-МАШ-4 №3'!D42,IF('4. СФ-МАШ-4 №3'!K42=МДанные!$D$135,0,'4. СФ-МАШ-4 №3'!K42))</f>
        <v>0</v>
      </c>
      <c r="Z42" s="102">
        <f t="shared" si="18"/>
        <v>0</v>
      </c>
      <c r="AA42" s="103">
        <f>MIN('5. СФ-МАШ-4 №4'!D42,IF('5. СФ-МАШ-4 №4'!K42=МДанные!$D$135,0,'5. СФ-МАШ-4 №4'!K42))</f>
        <v>0</v>
      </c>
      <c r="AB42" s="367">
        <f t="shared" si="19"/>
        <v>0</v>
      </c>
      <c r="AC42" s="56"/>
      <c r="AD42" s="100">
        <f t="shared" si="20"/>
        <v>159</v>
      </c>
      <c r="AE42" s="100">
        <f>INT((d1I-MAX(2-'2. СФ-МАШ-4 №1'!$D$93,0)*15)/('2. СФ-МАШ-4 №1'!F42+'2. СФ-МАШ-4 №1'!G42))</f>
        <v>31</v>
      </c>
      <c r="AF42" s="100">
        <f>INT((N1u-Nix*N1i)/(Nix-1))</f>
        <v>0</v>
      </c>
      <c r="AG42" s="101">
        <f t="shared" si="21"/>
        <v>159</v>
      </c>
      <c r="AH42" s="101">
        <f>INT((d2I-MAX(2-'3. СФ-МАШ-4 №2'!$D$93,0)*15)/('3. СФ-МАШ-4 №2'!F42+'3. СФ-МАШ-4 №2'!G42))</f>
        <v>31</v>
      </c>
      <c r="AI42" s="101">
        <f>INT((N2u-Nix*N2i)/(Nix-1))</f>
        <v>0</v>
      </c>
      <c r="AJ42" s="102">
        <f t="shared" si="22"/>
        <v>159</v>
      </c>
      <c r="AK42" s="102">
        <f>INT((d3I-MAX(2-'4. СФ-МАШ-4 №3'!$D$93,0)*15)/('4. СФ-МАШ-4 №3'!F42+'4. СФ-МАШ-4 №3'!G42))</f>
        <v>31</v>
      </c>
      <c r="AL42" s="102">
        <f>INT((N3u-Nix*N3i)/(Nix-1))</f>
        <v>0</v>
      </c>
      <c r="AM42" s="103">
        <f t="shared" si="23"/>
        <v>159</v>
      </c>
      <c r="AN42" s="103">
        <f>INT((d4I-MAX(2-'5. СФ-МАШ-4 №4'!$D$93,0)*15)/('5. СФ-МАШ-4 №4'!F42+'5. СФ-МАШ-4 №4'!G42))</f>
        <v>31</v>
      </c>
      <c r="AO42" s="103">
        <f>INT((N4u-Nix*N4i)/(Nix-1))</f>
        <v>0</v>
      </c>
    </row>
    <row r="43" spans="2:41" x14ac:dyDescent="0.25">
      <c r="B43">
        <v>43</v>
      </c>
      <c r="C43" s="49"/>
      <c r="D43" s="56" t="s">
        <v>75</v>
      </c>
      <c r="E43" s="66">
        <v>0.32</v>
      </c>
      <c r="F43" s="100">
        <f>VLOOKUP('2. СФ-МАШ-4 №1'!L43,$J$74:$K$137,2,FALSE)</f>
        <v>2.5</v>
      </c>
      <c r="G43" s="101">
        <f>VLOOKUP('3. СФ-МАШ-4 №2'!L43,$J$74:$K$137,2,FALSE)</f>
        <v>2.5</v>
      </c>
      <c r="H43" s="102">
        <f>VLOOKUP('4. СФ-МАШ-4 №3'!L43,$J$74:$K$137,2,FALSE)</f>
        <v>2.5</v>
      </c>
      <c r="I43" s="103">
        <f>VLOOKUP('5. СФ-МАШ-4 №4'!L43,$J$74:$K$137,2,FALSE)</f>
        <v>2.5</v>
      </c>
      <c r="J43" s="66">
        <v>0.19</v>
      </c>
      <c r="K43" s="66">
        <v>0.11</v>
      </c>
      <c r="L43" s="66">
        <f>INT(МДанные!$D$138/M43)</f>
        <v>159</v>
      </c>
      <c r="M43" s="70">
        <v>1</v>
      </c>
      <c r="N43" s="56" t="s">
        <v>75</v>
      </c>
      <c r="O43" s="66">
        <v>0</v>
      </c>
      <c r="P43" s="100"/>
      <c r="Q43" s="101"/>
      <c r="R43" s="102"/>
      <c r="S43" s="103"/>
      <c r="U43" s="100">
        <f>MIN('2. СФ-МАШ-4 №1'!D43,IF('2. СФ-МАШ-4 №1'!K43=МДанные!$D$135,0,'2. СФ-МАШ-4 №1'!K43))</f>
        <v>0</v>
      </c>
      <c r="V43" s="100">
        <f t="shared" si="16"/>
        <v>0</v>
      </c>
      <c r="W43" s="101">
        <f>MIN('3. СФ-МАШ-4 №2'!D43,IF('3. СФ-МАШ-4 №2'!K43=МДанные!$D$135,0,'3. СФ-МАШ-4 №2'!K43))</f>
        <v>0</v>
      </c>
      <c r="X43" s="101">
        <f t="shared" si="17"/>
        <v>0</v>
      </c>
      <c r="Y43" s="102">
        <f>MIN('4. СФ-МАШ-4 №3'!D43,IF('4. СФ-МАШ-4 №3'!K43=МДанные!$D$135,0,'4. СФ-МАШ-4 №3'!K43))</f>
        <v>0</v>
      </c>
      <c r="Z43" s="102">
        <f t="shared" si="18"/>
        <v>0</v>
      </c>
      <c r="AA43" s="103">
        <f>MIN('5. СФ-МАШ-4 №4'!D43,IF('5. СФ-МАШ-4 №4'!K43=МДанные!$D$135,0,'5. СФ-МАШ-4 №4'!K43))</f>
        <v>0</v>
      </c>
      <c r="AB43" s="367">
        <f t="shared" si="19"/>
        <v>0</v>
      </c>
      <c r="AC43" s="56" t="s">
        <v>75</v>
      </c>
      <c r="AD43" s="100">
        <f t="shared" si="20"/>
        <v>159</v>
      </c>
      <c r="AE43" s="100">
        <f>INT(d1I/('2. СФ-МАШ-4 №1'!F43+'2. СФ-МАШ-4 №1'!G43))</f>
        <v>82</v>
      </c>
      <c r="AF43" s="100"/>
      <c r="AG43" s="101">
        <f t="shared" si="21"/>
        <v>159</v>
      </c>
      <c r="AH43" s="101">
        <f>INT(d2I/('3. СФ-МАШ-4 №2'!F43+'3. СФ-МАШ-4 №2'!G43))</f>
        <v>82</v>
      </c>
      <c r="AI43" s="101"/>
      <c r="AJ43" s="102">
        <f t="shared" si="22"/>
        <v>159</v>
      </c>
      <c r="AK43" s="102">
        <f>INT(d3I/('4. СФ-МАШ-4 №3'!F43+'4. СФ-МАШ-4 №3'!G43))</f>
        <v>82</v>
      </c>
      <c r="AL43" s="102"/>
      <c r="AM43" s="103">
        <f t="shared" si="23"/>
        <v>159</v>
      </c>
      <c r="AN43" s="103">
        <f>INT(d4I/('5. СФ-МАШ-4 №4'!F43+'5. СФ-МАШ-4 №4'!G43))</f>
        <v>82</v>
      </c>
      <c r="AO43" s="103"/>
    </row>
    <row r="44" spans="2:41" x14ac:dyDescent="0.25">
      <c r="B44">
        <v>44</v>
      </c>
      <c r="C44" s="49"/>
      <c r="D44" s="56"/>
      <c r="E44" s="66">
        <v>0.32</v>
      </c>
      <c r="F44" s="100">
        <f>VLOOKUP('2. СФ-МАШ-4 №1'!L44,$J$74:$K$137,2,FALSE)</f>
        <v>6</v>
      </c>
      <c r="G44" s="101">
        <f>VLOOKUP('3. СФ-МАШ-4 №2'!L44,$J$74:$K$137,2,FALSE)</f>
        <v>6</v>
      </c>
      <c r="H44" s="102">
        <f>VLOOKUP('4. СФ-МАШ-4 №3'!L44,$J$74:$K$137,2,FALSE)</f>
        <v>6</v>
      </c>
      <c r="I44" s="103">
        <f>VLOOKUP('5. СФ-МАШ-4 №4'!L44,$J$74:$K$137,2,FALSE)</f>
        <v>6</v>
      </c>
      <c r="J44" s="66">
        <v>0.19</v>
      </c>
      <c r="K44" s="66">
        <v>0.11</v>
      </c>
      <c r="L44" s="66">
        <f>INT(МДанные!$D$138/M44)</f>
        <v>159</v>
      </c>
      <c r="M44" s="70">
        <v>1</v>
      </c>
      <c r="N44" s="56"/>
      <c r="O44" s="66">
        <v>0</v>
      </c>
      <c r="P44" s="100"/>
      <c r="Q44" s="101"/>
      <c r="R44" s="102"/>
      <c r="S44" s="103"/>
      <c r="U44" s="100">
        <f>MIN('2. СФ-МАШ-4 №1'!D44,IF('2. СФ-МАШ-4 №1'!K44=МДанные!$D$135,0,'2. СФ-МАШ-4 №1'!K44))</f>
        <v>0</v>
      </c>
      <c r="V44" s="100">
        <f t="shared" si="16"/>
        <v>0</v>
      </c>
      <c r="W44" s="101">
        <f>MIN('3. СФ-МАШ-4 №2'!D44,IF('3. СФ-МАШ-4 №2'!K44=МДанные!$D$135,0,'3. СФ-МАШ-4 №2'!K44))</f>
        <v>0</v>
      </c>
      <c r="X44" s="101">
        <f t="shared" si="17"/>
        <v>0</v>
      </c>
      <c r="Y44" s="102">
        <f>MIN('4. СФ-МАШ-4 №3'!D44,IF('4. СФ-МАШ-4 №3'!K44=МДанные!$D$135,0,'4. СФ-МАШ-4 №3'!K44))</f>
        <v>0</v>
      </c>
      <c r="Z44" s="102">
        <f t="shared" si="18"/>
        <v>0</v>
      </c>
      <c r="AA44" s="103">
        <f>MIN('5. СФ-МАШ-4 №4'!D44,IF('5. СФ-МАШ-4 №4'!K44=МДанные!$D$135,0,'5. СФ-МАШ-4 №4'!K44))</f>
        <v>0</v>
      </c>
      <c r="AB44" s="367">
        <f t="shared" si="19"/>
        <v>0</v>
      </c>
      <c r="AC44" s="56"/>
      <c r="AD44" s="100">
        <f t="shared" si="20"/>
        <v>159</v>
      </c>
      <c r="AE44" s="100">
        <f>INT(d1I/('2. СФ-МАШ-4 №1'!F44+'2. СФ-МАШ-4 №1'!G44))</f>
        <v>36</v>
      </c>
      <c r="AF44" s="100"/>
      <c r="AG44" s="101">
        <f t="shared" si="21"/>
        <v>159</v>
      </c>
      <c r="AH44" s="101">
        <f>INT(d2I/('3. СФ-МАШ-4 №2'!F44+'3. СФ-МАШ-4 №2'!G44))</f>
        <v>36</v>
      </c>
      <c r="AI44" s="101"/>
      <c r="AJ44" s="102">
        <f t="shared" si="22"/>
        <v>159</v>
      </c>
      <c r="AK44" s="102">
        <f>INT(d3I/('4. СФ-МАШ-4 №3'!F44+'4. СФ-МАШ-4 №3'!G44))</f>
        <v>36</v>
      </c>
      <c r="AL44" s="102"/>
      <c r="AM44" s="103">
        <f t="shared" si="23"/>
        <v>159</v>
      </c>
      <c r="AN44" s="103">
        <f>INT(d4I/('5. СФ-МАШ-4 №4'!F44+'5. СФ-МАШ-4 №4'!G44))</f>
        <v>36</v>
      </c>
      <c r="AO44" s="103"/>
    </row>
    <row r="45" spans="2:41" x14ac:dyDescent="0.25">
      <c r="B45">
        <v>45</v>
      </c>
      <c r="C45" s="49"/>
      <c r="D45" s="56" t="s">
        <v>76</v>
      </c>
      <c r="E45" s="66">
        <v>0.32</v>
      </c>
      <c r="F45" s="100">
        <f>VLOOKUP('2. СФ-МАШ-4 №1'!L45,$J$74:$K$137,2,FALSE)</f>
        <v>2.5</v>
      </c>
      <c r="G45" s="101">
        <f>VLOOKUP('3. СФ-МАШ-4 №2'!L45,$J$74:$K$137,2,FALSE)</f>
        <v>2.5</v>
      </c>
      <c r="H45" s="102">
        <f>VLOOKUP('4. СФ-МАШ-4 №3'!L45,$J$74:$K$137,2,FALSE)</f>
        <v>2.5</v>
      </c>
      <c r="I45" s="103">
        <f>VLOOKUP('5. СФ-МАШ-4 №4'!L45,$J$74:$K$137,2,FALSE)</f>
        <v>2.5</v>
      </c>
      <c r="J45" s="66">
        <v>0.19</v>
      </c>
      <c r="K45" s="66">
        <v>0.11</v>
      </c>
      <c r="L45" s="66">
        <f>INT(МДанные!$D$138/M45)</f>
        <v>159</v>
      </c>
      <c r="M45" s="70">
        <v>1</v>
      </c>
      <c r="N45" s="56" t="s">
        <v>76</v>
      </c>
      <c r="O45" s="66">
        <v>0</v>
      </c>
      <c r="P45" s="100"/>
      <c r="Q45" s="101"/>
      <c r="R45" s="102"/>
      <c r="S45" s="103"/>
      <c r="U45" s="100">
        <f>MIN('2. СФ-МАШ-4 №1'!D45,IF('2. СФ-МАШ-4 №1'!K45=МДанные!$D$135,0,'2. СФ-МАШ-4 №1'!K45))</f>
        <v>0</v>
      </c>
      <c r="V45" s="100">
        <f t="shared" si="16"/>
        <v>0</v>
      </c>
      <c r="W45" s="101">
        <f>MIN('3. СФ-МАШ-4 №2'!D45,IF('3. СФ-МАШ-4 №2'!K45=МДанные!$D$135,0,'3. СФ-МАШ-4 №2'!K45))</f>
        <v>0</v>
      </c>
      <c r="X45" s="101">
        <f t="shared" si="17"/>
        <v>0</v>
      </c>
      <c r="Y45" s="102">
        <f>MIN('4. СФ-МАШ-4 №3'!D45,IF('4. СФ-МАШ-4 №3'!K45=МДанные!$D$135,0,'4. СФ-МАШ-4 №3'!K45))</f>
        <v>0</v>
      </c>
      <c r="Z45" s="102">
        <f t="shared" si="18"/>
        <v>0</v>
      </c>
      <c r="AA45" s="103">
        <f>MIN('5. СФ-МАШ-4 №4'!D45,IF('5. СФ-МАШ-4 №4'!K45=МДанные!$D$135,0,'5. СФ-МАШ-4 №4'!K45))</f>
        <v>0</v>
      </c>
      <c r="AB45" s="367">
        <f t="shared" si="19"/>
        <v>0</v>
      </c>
      <c r="AC45" s="56" t="s">
        <v>76</v>
      </c>
      <c r="AD45" s="100">
        <f t="shared" si="20"/>
        <v>159</v>
      </c>
      <c r="AE45" s="100">
        <f>INT((d1I-MAX(2-'2. СФ-МАШ-4 №1'!$D$93,0)*15)/('2. СФ-МАШ-4 №1'!F45+'2. СФ-МАШ-4 №1'!G45))</f>
        <v>67</v>
      </c>
      <c r="AF45" s="100">
        <f>INT((N1u-Nix*N1i)/(Nix-1))</f>
        <v>0</v>
      </c>
      <c r="AG45" s="101">
        <f t="shared" si="21"/>
        <v>159</v>
      </c>
      <c r="AH45" s="101">
        <f>INT((d2I-MAX(2-'3. СФ-МАШ-4 №2'!$D$93,0)*15)/('3. СФ-МАШ-4 №2'!F45+'3. СФ-МАШ-4 №2'!G45))</f>
        <v>67</v>
      </c>
      <c r="AI45" s="101">
        <f>INT((N2u-Nix*N2i)/(Nix-1))</f>
        <v>0</v>
      </c>
      <c r="AJ45" s="102">
        <f t="shared" si="22"/>
        <v>159</v>
      </c>
      <c r="AK45" s="102">
        <f>INT((d3I-MAX(2-'4. СФ-МАШ-4 №3'!$D$93,0)*15)/('4. СФ-МАШ-4 №3'!F45+'4. СФ-МАШ-4 №3'!G45))</f>
        <v>67</v>
      </c>
      <c r="AL45" s="102">
        <f>INT((N3u-Nix*N3i)/(Nix-1))</f>
        <v>0</v>
      </c>
      <c r="AM45" s="103">
        <f t="shared" si="23"/>
        <v>159</v>
      </c>
      <c r="AN45" s="103">
        <f>INT((d4I-MAX(2-'5. СФ-МАШ-4 №4'!$D$93,0)*15)/('5. СФ-МАШ-4 №4'!F45+'5. СФ-МАШ-4 №4'!G45))</f>
        <v>67</v>
      </c>
      <c r="AO45" s="103">
        <f>INT((N4u-Nix*N4i)/(Nix-1))</f>
        <v>0</v>
      </c>
    </row>
    <row r="46" spans="2:41" x14ac:dyDescent="0.25">
      <c r="B46">
        <v>46</v>
      </c>
      <c r="C46" s="49"/>
      <c r="D46" s="56"/>
      <c r="E46" s="66">
        <v>0.32</v>
      </c>
      <c r="F46" s="100">
        <f>VLOOKUP('2. СФ-МАШ-4 №1'!L46,$J$74:$K$137,2,FALSE)</f>
        <v>6</v>
      </c>
      <c r="G46" s="101">
        <f>VLOOKUP('3. СФ-МАШ-4 №2'!L46,$J$74:$K$137,2,FALSE)</f>
        <v>6</v>
      </c>
      <c r="H46" s="102">
        <f>VLOOKUP('4. СФ-МАШ-4 №3'!L46,$J$74:$K$137,2,FALSE)</f>
        <v>6</v>
      </c>
      <c r="I46" s="103">
        <f>VLOOKUP('5. СФ-МАШ-4 №4'!L46,$J$74:$K$137,2,FALSE)</f>
        <v>6</v>
      </c>
      <c r="J46" s="66">
        <v>0.19</v>
      </c>
      <c r="K46" s="66">
        <v>0.11</v>
      </c>
      <c r="L46" s="66">
        <f>INT(МДанные!$D$138/M46)</f>
        <v>159</v>
      </c>
      <c r="M46" s="70">
        <v>1</v>
      </c>
      <c r="N46" s="56"/>
      <c r="O46" s="66">
        <v>0</v>
      </c>
      <c r="P46" s="100"/>
      <c r="Q46" s="101"/>
      <c r="R46" s="102"/>
      <c r="S46" s="103"/>
      <c r="U46" s="100">
        <f>MIN('2. СФ-МАШ-4 №1'!D46,IF('2. СФ-МАШ-4 №1'!K46=МДанные!$D$135,0,'2. СФ-МАШ-4 №1'!K46))</f>
        <v>0</v>
      </c>
      <c r="V46" s="100">
        <f t="shared" si="16"/>
        <v>0</v>
      </c>
      <c r="W46" s="101">
        <f>MIN('3. СФ-МАШ-4 №2'!D46,IF('3. СФ-МАШ-4 №2'!K46=МДанные!$D$135,0,'3. СФ-МАШ-4 №2'!K46))</f>
        <v>0</v>
      </c>
      <c r="X46" s="101">
        <f t="shared" si="17"/>
        <v>0</v>
      </c>
      <c r="Y46" s="102">
        <f>MIN('4. СФ-МАШ-4 №3'!D46,IF('4. СФ-МАШ-4 №3'!K46=МДанные!$D$135,0,'4. СФ-МАШ-4 №3'!K46))</f>
        <v>0</v>
      </c>
      <c r="Z46" s="102">
        <f t="shared" si="18"/>
        <v>0</v>
      </c>
      <c r="AA46" s="103">
        <f>MIN('5. СФ-МАШ-4 №4'!D46,IF('5. СФ-МАШ-4 №4'!K46=МДанные!$D$135,0,'5. СФ-МАШ-4 №4'!K46))</f>
        <v>0</v>
      </c>
      <c r="AB46" s="367">
        <f t="shared" si="19"/>
        <v>0</v>
      </c>
      <c r="AC46" s="56"/>
      <c r="AD46" s="100">
        <f t="shared" si="20"/>
        <v>159</v>
      </c>
      <c r="AE46" s="100">
        <f>INT((d1I-MAX(2-'2. СФ-МАШ-4 №1'!$D$93,0)*15)/('2. СФ-МАШ-4 №1'!F46+'2. СФ-МАШ-4 №1'!G46))</f>
        <v>31</v>
      </c>
      <c r="AF46" s="100">
        <f>INT((N1u-Nix*N1i)/(Nix-1))</f>
        <v>0</v>
      </c>
      <c r="AG46" s="101">
        <f t="shared" si="21"/>
        <v>159</v>
      </c>
      <c r="AH46" s="101">
        <f>INT((d2I-MAX(2-'3. СФ-МАШ-4 №2'!$D$93,0)*15)/('3. СФ-МАШ-4 №2'!F46+'3. СФ-МАШ-4 №2'!G46))</f>
        <v>31</v>
      </c>
      <c r="AI46" s="101">
        <f>INT((N2u-Nix*N2i)/(Nix-1))</f>
        <v>0</v>
      </c>
      <c r="AJ46" s="102">
        <f t="shared" si="22"/>
        <v>159</v>
      </c>
      <c r="AK46" s="102">
        <f>INT((d3I-MAX(2-'4. СФ-МАШ-4 №3'!$D$93,0)*15)/('4. СФ-МАШ-4 №3'!F46+'4. СФ-МАШ-4 №3'!G46))</f>
        <v>31</v>
      </c>
      <c r="AL46" s="102">
        <f>INT((N3u-Nix*N3i)/(Nix-1))</f>
        <v>0</v>
      </c>
      <c r="AM46" s="103">
        <f t="shared" si="23"/>
        <v>159</v>
      </c>
      <c r="AN46" s="103">
        <f>INT((d4I-MAX(2-'5. СФ-МАШ-4 №4'!$D$93,0)*15)/('5. СФ-МАШ-4 №4'!F46+'5. СФ-МАШ-4 №4'!G46))</f>
        <v>31</v>
      </c>
      <c r="AO46" s="103">
        <f>INT((N4u-Nix*N4i)/(Nix-1))</f>
        <v>0</v>
      </c>
    </row>
    <row r="47" spans="2:41" x14ac:dyDescent="0.25">
      <c r="B47">
        <v>47</v>
      </c>
      <c r="C47" s="49"/>
      <c r="D47" s="56" t="s">
        <v>77</v>
      </c>
      <c r="E47" s="66">
        <v>0.32</v>
      </c>
      <c r="F47" s="100">
        <f>VLOOKUP('2. СФ-МАШ-4 №1'!L47,$J$74:$K$137,2,FALSE)+$I$75</f>
        <v>5.8</v>
      </c>
      <c r="G47" s="101">
        <f>VLOOKUP('3. СФ-МАШ-4 №2'!L47,$J$74:$K$137,2,FALSE)+$I$75</f>
        <v>5.8</v>
      </c>
      <c r="H47" s="102">
        <f>VLOOKUP('4. СФ-МАШ-4 №3'!L47,$J$74:$K$137,2,FALSE)+$I$75</f>
        <v>5.8</v>
      </c>
      <c r="I47" s="103">
        <f>VLOOKUP('5. СФ-МАШ-4 №4'!L47,$J$74:$K$137,2,FALSE)+$I$75</f>
        <v>5.8</v>
      </c>
      <c r="J47" s="66">
        <v>0.19</v>
      </c>
      <c r="K47" s="66">
        <v>0.11</v>
      </c>
      <c r="L47" s="66">
        <f>INT(МДанные!$D$138/M47)</f>
        <v>159</v>
      </c>
      <c r="M47" s="70">
        <v>1</v>
      </c>
      <c r="N47" s="56" t="s">
        <v>77</v>
      </c>
      <c r="O47" s="66">
        <v>0</v>
      </c>
      <c r="P47" s="100"/>
      <c r="Q47" s="101"/>
      <c r="R47" s="102"/>
      <c r="S47" s="103"/>
      <c r="U47" s="100">
        <f>MIN('2. СФ-МАШ-4 №1'!D47,IF('2. СФ-МАШ-4 №1'!K47=МДанные!$D$135,0,'2. СФ-МАШ-4 №1'!K47))</f>
        <v>0</v>
      </c>
      <c r="V47" s="100">
        <f t="shared" si="16"/>
        <v>0</v>
      </c>
      <c r="W47" s="101">
        <f>MIN('3. СФ-МАШ-4 №2'!D47,IF('3. СФ-МАШ-4 №2'!K47=МДанные!$D$135,0,'3. СФ-МАШ-4 №2'!K47))</f>
        <v>0</v>
      </c>
      <c r="X47" s="101">
        <f t="shared" si="17"/>
        <v>0</v>
      </c>
      <c r="Y47" s="102">
        <f>MIN('4. СФ-МАШ-4 №3'!D47,IF('4. СФ-МАШ-4 №3'!K47=МДанные!$D$135,0,'4. СФ-МАШ-4 №3'!K47))</f>
        <v>0</v>
      </c>
      <c r="Z47" s="102">
        <f t="shared" si="18"/>
        <v>0</v>
      </c>
      <c r="AA47" s="103">
        <f>MIN('5. СФ-МАШ-4 №4'!D47,IF('5. СФ-МАШ-4 №4'!K47=МДанные!$D$135,0,'5. СФ-МАШ-4 №4'!K47))</f>
        <v>0</v>
      </c>
      <c r="AB47" s="367">
        <f t="shared" si="19"/>
        <v>0</v>
      </c>
      <c r="AC47" s="56" t="s">
        <v>77</v>
      </c>
      <c r="AD47" s="100">
        <f t="shared" si="20"/>
        <v>159</v>
      </c>
      <c r="AE47" s="100">
        <f>INT(d1I/('2. СФ-МАШ-4 №1'!F47+'2. СФ-МАШ-4 №1'!G47))</f>
        <v>38</v>
      </c>
      <c r="AF47" s="100"/>
      <c r="AG47" s="101">
        <f t="shared" si="21"/>
        <v>159</v>
      </c>
      <c r="AH47" s="101">
        <f>INT(d2I/('3. СФ-МАШ-4 №2'!F47+'3. СФ-МАШ-4 №2'!G47))</f>
        <v>38</v>
      </c>
      <c r="AI47" s="101"/>
      <c r="AJ47" s="102">
        <f t="shared" si="22"/>
        <v>159</v>
      </c>
      <c r="AK47" s="102">
        <f>INT(d3I/('4. СФ-МАШ-4 №3'!F47+'4. СФ-МАШ-4 №3'!G47))</f>
        <v>38</v>
      </c>
      <c r="AL47" s="102"/>
      <c r="AM47" s="103">
        <f t="shared" si="23"/>
        <v>159</v>
      </c>
      <c r="AN47" s="103">
        <f>INT(d4I/('5. СФ-МАШ-4 №4'!F47+'5. СФ-МАШ-4 №4'!G47))</f>
        <v>38</v>
      </c>
      <c r="AO47" s="103"/>
    </row>
    <row r="48" spans="2:41" x14ac:dyDescent="0.25">
      <c r="B48">
        <v>48</v>
      </c>
      <c r="C48" s="49"/>
      <c r="D48" s="56"/>
      <c r="E48" s="66">
        <v>0.32</v>
      </c>
      <c r="F48" s="100">
        <f>VLOOKUP('2. СФ-МАШ-4 №1'!L48,$J$74:$K$137,2,FALSE)+$I$75</f>
        <v>9.3000000000000007</v>
      </c>
      <c r="G48" s="101">
        <f>VLOOKUP('3. СФ-МАШ-4 №2'!L48,$J$74:$K$137,2,FALSE)+$I$75</f>
        <v>9.3000000000000007</v>
      </c>
      <c r="H48" s="102">
        <f>VLOOKUP('4. СФ-МАШ-4 №3'!L48,$J$74:$K$137,2,FALSE)+$I$75</f>
        <v>9.3000000000000007</v>
      </c>
      <c r="I48" s="103">
        <f>VLOOKUP('5. СФ-МАШ-4 №4'!L48,$J$74:$K$137,2,FALSE)+$I$75</f>
        <v>9.3000000000000007</v>
      </c>
      <c r="J48" s="66">
        <v>0.19</v>
      </c>
      <c r="K48" s="66">
        <v>0.11</v>
      </c>
      <c r="L48" s="66">
        <f>INT(МДанные!$D$138/M48)</f>
        <v>159</v>
      </c>
      <c r="M48" s="70">
        <v>1</v>
      </c>
      <c r="N48" s="56"/>
      <c r="O48" s="66">
        <v>0</v>
      </c>
      <c r="P48" s="100"/>
      <c r="Q48" s="101"/>
      <c r="R48" s="102"/>
      <c r="S48" s="103"/>
      <c r="U48" s="100">
        <f>MIN('2. СФ-МАШ-4 №1'!D48,IF('2. СФ-МАШ-4 №1'!K48=МДанные!$D$135,0,'2. СФ-МАШ-4 №1'!K48))</f>
        <v>0</v>
      </c>
      <c r="V48" s="100">
        <f t="shared" si="16"/>
        <v>0</v>
      </c>
      <c r="W48" s="101">
        <f>MIN('3. СФ-МАШ-4 №2'!D48,IF('3. СФ-МАШ-4 №2'!K48=МДанные!$D$135,0,'3. СФ-МАШ-4 №2'!K48))</f>
        <v>0</v>
      </c>
      <c r="X48" s="101">
        <f t="shared" si="17"/>
        <v>0</v>
      </c>
      <c r="Y48" s="102">
        <f>MIN('4. СФ-МАШ-4 №3'!D48,IF('4. СФ-МАШ-4 №3'!K48=МДанные!$D$135,0,'4. СФ-МАШ-4 №3'!K48))</f>
        <v>0</v>
      </c>
      <c r="Z48" s="102">
        <f t="shared" si="18"/>
        <v>0</v>
      </c>
      <c r="AA48" s="103">
        <f>MIN('5. СФ-МАШ-4 №4'!D48,IF('5. СФ-МАШ-4 №4'!K48=МДанные!$D$135,0,'5. СФ-МАШ-4 №4'!K48))</f>
        <v>0</v>
      </c>
      <c r="AB48" s="367">
        <f t="shared" si="19"/>
        <v>0</v>
      </c>
      <c r="AC48" s="56"/>
      <c r="AD48" s="100">
        <f t="shared" si="20"/>
        <v>159</v>
      </c>
      <c r="AE48" s="100">
        <f>INT(d1I/('2. СФ-МАШ-4 №1'!F48+'2. СФ-МАШ-4 №1'!G48))</f>
        <v>24</v>
      </c>
      <c r="AF48" s="100"/>
      <c r="AG48" s="101">
        <f t="shared" si="21"/>
        <v>159</v>
      </c>
      <c r="AH48" s="101">
        <f>INT(d2I/('3. СФ-МАШ-4 №2'!F48+'3. СФ-МАШ-4 №2'!G48))</f>
        <v>24</v>
      </c>
      <c r="AI48" s="101"/>
      <c r="AJ48" s="102">
        <f t="shared" si="22"/>
        <v>159</v>
      </c>
      <c r="AK48" s="102">
        <f>INT(d3I/('4. СФ-МАШ-4 №3'!F48+'4. СФ-МАШ-4 №3'!G48))</f>
        <v>24</v>
      </c>
      <c r="AL48" s="102"/>
      <c r="AM48" s="103">
        <f t="shared" si="23"/>
        <v>159</v>
      </c>
      <c r="AN48" s="103">
        <f>INT(d4I/('5. СФ-МАШ-4 №4'!F48+'5. СФ-МАШ-4 №4'!G48))</f>
        <v>24</v>
      </c>
      <c r="AO48" s="103"/>
    </row>
    <row r="49" spans="1:41" x14ac:dyDescent="0.25">
      <c r="B49">
        <v>49</v>
      </c>
      <c r="C49" s="49"/>
      <c r="D49" s="56" t="s">
        <v>78</v>
      </c>
      <c r="E49" s="66">
        <v>0.32</v>
      </c>
      <c r="F49" s="100">
        <f>VLOOKUP('2. СФ-МАШ-4 №1'!L49,$J$74:$K$137,2,FALSE)+$I$75</f>
        <v>5.8</v>
      </c>
      <c r="G49" s="101">
        <f>VLOOKUP('3. СФ-МАШ-4 №2'!L49,$J$74:$K$137,2,FALSE)+$I$75</f>
        <v>5.8</v>
      </c>
      <c r="H49" s="102">
        <f>VLOOKUP('4. СФ-МАШ-4 №3'!L49,$J$74:$K$137,2,FALSE)+$I$75</f>
        <v>5.8</v>
      </c>
      <c r="I49" s="103">
        <f>VLOOKUP('5. СФ-МАШ-4 №4'!L49,$J$74:$K$137,2,FALSE)+$I$75</f>
        <v>5.8</v>
      </c>
      <c r="J49" s="66">
        <v>0.19</v>
      </c>
      <c r="K49" s="66">
        <v>0.11</v>
      </c>
      <c r="L49" s="66">
        <f>INT(МДанные!$D$138/M49)</f>
        <v>159</v>
      </c>
      <c r="M49" s="70">
        <v>1</v>
      </c>
      <c r="N49" s="56" t="s">
        <v>78</v>
      </c>
      <c r="O49" s="66">
        <v>0</v>
      </c>
      <c r="P49" s="100"/>
      <c r="Q49" s="101"/>
      <c r="R49" s="102"/>
      <c r="S49" s="103"/>
      <c r="U49" s="100">
        <f>MIN('2. СФ-МАШ-4 №1'!D49,IF('2. СФ-МАШ-4 №1'!K49=МДанные!$D$135,0,'2. СФ-МАШ-4 №1'!K49))</f>
        <v>0</v>
      </c>
      <c r="V49" s="100">
        <f t="shared" si="16"/>
        <v>0</v>
      </c>
      <c r="W49" s="101">
        <f>MIN('3. СФ-МАШ-4 №2'!D49,IF('3. СФ-МАШ-4 №2'!K49=МДанные!$D$135,0,'3. СФ-МАШ-4 №2'!K49))</f>
        <v>0</v>
      </c>
      <c r="X49" s="101">
        <f t="shared" si="17"/>
        <v>0</v>
      </c>
      <c r="Y49" s="102">
        <f>MIN('4. СФ-МАШ-4 №3'!D49,IF('4. СФ-МАШ-4 №3'!K49=МДанные!$D$135,0,'4. СФ-МАШ-4 №3'!K49))</f>
        <v>0</v>
      </c>
      <c r="Z49" s="102">
        <f t="shared" si="18"/>
        <v>0</v>
      </c>
      <c r="AA49" s="103">
        <f>MIN('5. СФ-МАШ-4 №4'!D49,IF('5. СФ-МАШ-4 №4'!K49=МДанные!$D$135,0,'5. СФ-МАШ-4 №4'!K49))</f>
        <v>0</v>
      </c>
      <c r="AB49" s="367">
        <f t="shared" si="19"/>
        <v>0</v>
      </c>
      <c r="AC49" s="56" t="s">
        <v>78</v>
      </c>
      <c r="AD49" s="100">
        <f t="shared" si="20"/>
        <v>159</v>
      </c>
      <c r="AE49" s="100">
        <f>INT((d1I-MAX(2-'2. СФ-МАШ-4 №1'!$D$93,0)*15)/('2. СФ-МАШ-4 №1'!F49+'2. СФ-МАШ-4 №1'!G49))</f>
        <v>32</v>
      </c>
      <c r="AF49" s="100">
        <f>INT((N1u-Nix*N1i)/(Nix-1))</f>
        <v>0</v>
      </c>
      <c r="AG49" s="101">
        <f t="shared" si="21"/>
        <v>159</v>
      </c>
      <c r="AH49" s="101">
        <f>INT((d2I-MAX(2-'3. СФ-МАШ-4 №2'!$D$93,0)*15)/('3. СФ-МАШ-4 №2'!F49+'3. СФ-МАШ-4 №2'!G49))</f>
        <v>32</v>
      </c>
      <c r="AI49" s="101">
        <f>INT((N2u-Nix*N2i)/(Nix-1))</f>
        <v>0</v>
      </c>
      <c r="AJ49" s="102">
        <f t="shared" si="22"/>
        <v>159</v>
      </c>
      <c r="AK49" s="102">
        <f>INT((d3I-MAX(2-'4. СФ-МАШ-4 №3'!$D$93,0)*15)/('4. СФ-МАШ-4 №3'!F49+'4. СФ-МАШ-4 №3'!G49))</f>
        <v>32</v>
      </c>
      <c r="AL49" s="102">
        <f>INT((N3u-Nix*N3i)/(Nix-1))</f>
        <v>0</v>
      </c>
      <c r="AM49" s="103">
        <f t="shared" si="23"/>
        <v>159</v>
      </c>
      <c r="AN49" s="103">
        <f>INT((d4I-MAX(2-'5. СФ-МАШ-4 №4'!$D$93,0)*15)/('5. СФ-МАШ-4 №4'!F49+'5. СФ-МАШ-4 №4'!G49))</f>
        <v>32</v>
      </c>
      <c r="AO49" s="103">
        <f>INT((N4u-Nix*N4i)/(Nix-1))</f>
        <v>0</v>
      </c>
    </row>
    <row r="50" spans="1:41" x14ac:dyDescent="0.25">
      <c r="B50">
        <v>50</v>
      </c>
      <c r="C50" s="49"/>
      <c r="D50" s="56"/>
      <c r="E50" s="66">
        <v>0.32</v>
      </c>
      <c r="F50" s="100">
        <f>VLOOKUP('2. СФ-МАШ-4 №1'!L50,$J$74:$K$137,2,FALSE)+$I$75</f>
        <v>9.3000000000000007</v>
      </c>
      <c r="G50" s="101">
        <f>VLOOKUP('3. СФ-МАШ-4 №2'!L50,$J$74:$K$137,2,FALSE)+$I$75</f>
        <v>9.3000000000000007</v>
      </c>
      <c r="H50" s="102">
        <f>VLOOKUP('4. СФ-МАШ-4 №3'!L50,$J$74:$K$137,2,FALSE)+$I$75</f>
        <v>9.3000000000000007</v>
      </c>
      <c r="I50" s="103">
        <f>VLOOKUP('5. СФ-МАШ-4 №4'!L50,$J$74:$K$137,2,FALSE)+$I$75</f>
        <v>9.3000000000000007</v>
      </c>
      <c r="J50" s="66">
        <v>0.19</v>
      </c>
      <c r="K50" s="66">
        <v>0.11</v>
      </c>
      <c r="L50" s="66">
        <f>INT(МДанные!$D$138/M50)</f>
        <v>159</v>
      </c>
      <c r="M50" s="70">
        <v>1</v>
      </c>
      <c r="N50" s="56"/>
      <c r="O50" s="66">
        <v>0</v>
      </c>
      <c r="P50" s="100"/>
      <c r="Q50" s="101"/>
      <c r="R50" s="102"/>
      <c r="S50" s="103"/>
      <c r="U50" s="100">
        <f>MIN('2. СФ-МАШ-4 №1'!D50,IF('2. СФ-МАШ-4 №1'!K50=МДанные!$D$135,0,'2. СФ-МАШ-4 №1'!K50))</f>
        <v>0</v>
      </c>
      <c r="V50" s="100">
        <f t="shared" si="16"/>
        <v>0</v>
      </c>
      <c r="W50" s="101">
        <f>MIN('3. СФ-МАШ-4 №2'!D50,IF('3. СФ-МАШ-4 №2'!K50=МДанные!$D$135,0,'3. СФ-МАШ-4 №2'!K50))</f>
        <v>0</v>
      </c>
      <c r="X50" s="101">
        <f t="shared" si="17"/>
        <v>0</v>
      </c>
      <c r="Y50" s="102">
        <f>MIN('4. СФ-МАШ-4 №3'!D50,IF('4. СФ-МАШ-4 №3'!K50=МДанные!$D$135,0,'4. СФ-МАШ-4 №3'!K50))</f>
        <v>0</v>
      </c>
      <c r="Z50" s="102">
        <f t="shared" si="18"/>
        <v>0</v>
      </c>
      <c r="AA50" s="103">
        <f>MIN('5. СФ-МАШ-4 №4'!D50,IF('5. СФ-МАШ-4 №4'!K50=МДанные!$D$135,0,'5. СФ-МАШ-4 №4'!K50))</f>
        <v>0</v>
      </c>
      <c r="AB50" s="367">
        <f t="shared" si="19"/>
        <v>0</v>
      </c>
      <c r="AC50" s="56"/>
      <c r="AD50" s="100">
        <f t="shared" si="20"/>
        <v>159</v>
      </c>
      <c r="AE50" s="100">
        <f>INT((d1I-MAX(2-'2. СФ-МАШ-4 №1'!$D$93,0)*15)/('2. СФ-МАШ-4 №1'!F50+'2. СФ-МАШ-4 №1'!G50))</f>
        <v>20</v>
      </c>
      <c r="AF50" s="100">
        <f>INT((N1u-Nix*N1i)/(Nix-1))</f>
        <v>0</v>
      </c>
      <c r="AG50" s="101">
        <f t="shared" si="21"/>
        <v>159</v>
      </c>
      <c r="AH50" s="101">
        <f>INT((d2I-MAX(2-'3. СФ-МАШ-4 №2'!$D$93,0)*15)/('3. СФ-МАШ-4 №2'!F50+'3. СФ-МАШ-4 №2'!G50))</f>
        <v>20</v>
      </c>
      <c r="AI50" s="101">
        <f>INT((N2u-Nix*N2i)/(Nix-1))</f>
        <v>0</v>
      </c>
      <c r="AJ50" s="102">
        <f t="shared" si="22"/>
        <v>159</v>
      </c>
      <c r="AK50" s="102">
        <f>INT((d3I-MAX(2-'4. СФ-МАШ-4 №3'!$D$93,0)*15)/('4. СФ-МАШ-4 №3'!F50+'4. СФ-МАШ-4 №3'!G50))</f>
        <v>20</v>
      </c>
      <c r="AL50" s="102">
        <f>INT((N3u-Nix*N3i)/(Nix-1))</f>
        <v>0</v>
      </c>
      <c r="AM50" s="103">
        <f t="shared" si="23"/>
        <v>159</v>
      </c>
      <c r="AN50" s="103">
        <f>INT((d4I-MAX(2-'5. СФ-МАШ-4 №4'!$D$93,0)*15)/('5. СФ-МАШ-4 №4'!F50+'5. СФ-МАШ-4 №4'!G50))</f>
        <v>20</v>
      </c>
      <c r="AO50" s="103">
        <f>INT((N4u-Nix*N4i)/(Nix-1))</f>
        <v>0</v>
      </c>
    </row>
    <row r="51" spans="1:41" x14ac:dyDescent="0.25">
      <c r="B51">
        <v>51</v>
      </c>
      <c r="C51" s="49"/>
      <c r="D51" s="56" t="s">
        <v>79</v>
      </c>
      <c r="E51" s="66">
        <v>0.32</v>
      </c>
      <c r="F51" s="100">
        <f>VLOOKUP('2. СФ-МАШ-4 №1'!L51,$J$74:$K$137,2,FALSE)+$I$75</f>
        <v>5.8</v>
      </c>
      <c r="G51" s="101">
        <f>VLOOKUP('3. СФ-МАШ-4 №2'!L51,$J$74:$K$137,2,FALSE)+$I$75</f>
        <v>5.8</v>
      </c>
      <c r="H51" s="102">
        <f>VLOOKUP('4. СФ-МАШ-4 №3'!L51,$J$74:$K$137,2,FALSE)+$I$75</f>
        <v>5.8</v>
      </c>
      <c r="I51" s="103">
        <f>VLOOKUP('5. СФ-МАШ-4 №4'!L51,$J$74:$K$137,2,FALSE)+$I$75</f>
        <v>5.8</v>
      </c>
      <c r="J51" s="66">
        <v>0.19</v>
      </c>
      <c r="K51" s="66">
        <v>0.11</v>
      </c>
      <c r="L51" s="66">
        <f>INT(МДанные!$D$138/M51)</f>
        <v>159</v>
      </c>
      <c r="M51" s="70">
        <v>1</v>
      </c>
      <c r="N51" s="56" t="s">
        <v>79</v>
      </c>
      <c r="O51" s="66">
        <v>0</v>
      </c>
      <c r="P51" s="100"/>
      <c r="Q51" s="101"/>
      <c r="R51" s="102"/>
      <c r="S51" s="103"/>
      <c r="U51" s="100">
        <f>MIN('2. СФ-МАШ-4 №1'!D51,IF('2. СФ-МАШ-4 №1'!K51=МДанные!$D$135,0,'2. СФ-МАШ-4 №1'!K51))</f>
        <v>0</v>
      </c>
      <c r="V51" s="100">
        <f t="shared" si="16"/>
        <v>0</v>
      </c>
      <c r="W51" s="101">
        <f>MIN('3. СФ-МАШ-4 №2'!D51,IF('3. СФ-МАШ-4 №2'!K51=МДанные!$D$135,0,'3. СФ-МАШ-4 №2'!K51))</f>
        <v>0</v>
      </c>
      <c r="X51" s="101">
        <f t="shared" si="17"/>
        <v>0</v>
      </c>
      <c r="Y51" s="102">
        <f>MIN('4. СФ-МАШ-4 №3'!D51,IF('4. СФ-МАШ-4 №3'!K51=МДанные!$D$135,0,'4. СФ-МАШ-4 №3'!K51))</f>
        <v>0</v>
      </c>
      <c r="Z51" s="102">
        <f t="shared" si="18"/>
        <v>0</v>
      </c>
      <c r="AA51" s="103">
        <f>MIN('5. СФ-МАШ-4 №4'!D51,IF('5. СФ-МАШ-4 №4'!K51=МДанные!$D$135,0,'5. СФ-МАШ-4 №4'!K51))</f>
        <v>0</v>
      </c>
      <c r="AB51" s="367">
        <f t="shared" si="19"/>
        <v>0</v>
      </c>
      <c r="AC51" s="56" t="s">
        <v>79</v>
      </c>
      <c r="AD51" s="100">
        <f t="shared" si="20"/>
        <v>159</v>
      </c>
      <c r="AE51" s="100">
        <f>INT(d1I/('2. СФ-МАШ-4 №1'!F51+'2. СФ-МАШ-4 №1'!G51))</f>
        <v>38</v>
      </c>
      <c r="AF51" s="100"/>
      <c r="AG51" s="101">
        <f t="shared" si="21"/>
        <v>159</v>
      </c>
      <c r="AH51" s="101">
        <f>INT(d2I/('3. СФ-МАШ-4 №2'!F51+'3. СФ-МАШ-4 №2'!G51))</f>
        <v>38</v>
      </c>
      <c r="AI51" s="101"/>
      <c r="AJ51" s="102">
        <f t="shared" si="22"/>
        <v>159</v>
      </c>
      <c r="AK51" s="102">
        <f>INT(d3I/('4. СФ-МАШ-4 №3'!F51+'4. СФ-МАШ-4 №3'!G51))</f>
        <v>38</v>
      </c>
      <c r="AL51" s="102"/>
      <c r="AM51" s="103">
        <f t="shared" si="23"/>
        <v>159</v>
      </c>
      <c r="AN51" s="103">
        <f>INT(d4I/('5. СФ-МАШ-4 №4'!F51+'5. СФ-МАШ-4 №4'!G51))</f>
        <v>38</v>
      </c>
      <c r="AO51" s="103"/>
    </row>
    <row r="52" spans="1:41" x14ac:dyDescent="0.25">
      <c r="B52">
        <v>52</v>
      </c>
      <c r="C52" s="49"/>
      <c r="D52" s="56"/>
      <c r="E52" s="66">
        <v>0.32</v>
      </c>
      <c r="F52" s="100">
        <f>VLOOKUP('2. СФ-МАШ-4 №1'!L52,$J$74:$K$137,2,FALSE)+$I$75</f>
        <v>9.3000000000000007</v>
      </c>
      <c r="G52" s="101">
        <f>VLOOKUP('3. СФ-МАШ-4 №2'!L52,$J$74:$K$137,2,FALSE)+$I$75</f>
        <v>9.3000000000000007</v>
      </c>
      <c r="H52" s="102">
        <f>VLOOKUP('4. СФ-МАШ-4 №3'!L52,$J$74:$K$137,2,FALSE)+$I$75</f>
        <v>9.3000000000000007</v>
      </c>
      <c r="I52" s="103">
        <f>VLOOKUP('5. СФ-МАШ-4 №4'!L52,$J$74:$K$137,2,FALSE)+$I$75</f>
        <v>9.3000000000000007</v>
      </c>
      <c r="J52" s="66">
        <v>0.19</v>
      </c>
      <c r="K52" s="66">
        <v>0.11</v>
      </c>
      <c r="L52" s="66">
        <f>INT(МДанные!$D$138/M52)</f>
        <v>159</v>
      </c>
      <c r="M52" s="70">
        <v>1</v>
      </c>
      <c r="N52" s="56"/>
      <c r="O52" s="66">
        <v>0</v>
      </c>
      <c r="P52" s="100"/>
      <c r="Q52" s="101"/>
      <c r="R52" s="102"/>
      <c r="S52" s="103"/>
      <c r="U52" s="100">
        <f>MIN('2. СФ-МАШ-4 №1'!D52,IF('2. СФ-МАШ-4 №1'!K52=МДанные!$D$135,0,'2. СФ-МАШ-4 №1'!K52))</f>
        <v>0</v>
      </c>
      <c r="V52" s="100">
        <f t="shared" si="16"/>
        <v>0</v>
      </c>
      <c r="W52" s="101">
        <f>MIN('3. СФ-МАШ-4 №2'!D52,IF('3. СФ-МАШ-4 №2'!K52=МДанные!$D$135,0,'3. СФ-МАШ-4 №2'!K52))</f>
        <v>0</v>
      </c>
      <c r="X52" s="101">
        <f t="shared" si="17"/>
        <v>0</v>
      </c>
      <c r="Y52" s="102">
        <f>MIN('4. СФ-МАШ-4 №3'!D52,IF('4. СФ-МАШ-4 №3'!K52=МДанные!$D$135,0,'4. СФ-МАШ-4 №3'!K52))</f>
        <v>0</v>
      </c>
      <c r="Z52" s="102">
        <f t="shared" si="18"/>
        <v>0</v>
      </c>
      <c r="AA52" s="103">
        <f>MIN('5. СФ-МАШ-4 №4'!D52,IF('5. СФ-МАШ-4 №4'!K52=МДанные!$D$135,0,'5. СФ-МАШ-4 №4'!K52))</f>
        <v>0</v>
      </c>
      <c r="AB52" s="367">
        <f t="shared" si="19"/>
        <v>0</v>
      </c>
      <c r="AC52" s="56"/>
      <c r="AD52" s="100">
        <f t="shared" si="20"/>
        <v>159</v>
      </c>
      <c r="AE52" s="100">
        <f>INT(d1I/('2. СФ-МАШ-4 №1'!F52+'2. СФ-МАШ-4 №1'!G52))</f>
        <v>24</v>
      </c>
      <c r="AF52" s="100"/>
      <c r="AG52" s="101">
        <f t="shared" si="21"/>
        <v>159</v>
      </c>
      <c r="AH52" s="101">
        <f>INT(d2I/('3. СФ-МАШ-4 №2'!F52+'3. СФ-МАШ-4 №2'!G52))</f>
        <v>24</v>
      </c>
      <c r="AI52" s="101"/>
      <c r="AJ52" s="102">
        <f t="shared" si="22"/>
        <v>159</v>
      </c>
      <c r="AK52" s="102">
        <f>INT(d3I/('4. СФ-МАШ-4 №3'!F52+'4. СФ-МАШ-4 №3'!G52))</f>
        <v>24</v>
      </c>
      <c r="AL52" s="102"/>
      <c r="AM52" s="103">
        <f t="shared" si="23"/>
        <v>159</v>
      </c>
      <c r="AN52" s="103">
        <f>INT(d4I/('5. СФ-МАШ-4 №4'!F52+'5. СФ-МАШ-4 №4'!G52))</f>
        <v>24</v>
      </c>
      <c r="AO52" s="103"/>
    </row>
    <row r="53" spans="1:41" x14ac:dyDescent="0.25">
      <c r="B53">
        <v>53</v>
      </c>
      <c r="C53" s="49"/>
      <c r="D53" s="56" t="s">
        <v>80</v>
      </c>
      <c r="E53" s="66">
        <v>0.32</v>
      </c>
      <c r="F53" s="100">
        <f>VLOOKUP('2. СФ-МАШ-4 №1'!L53,$J$74:$K$137,2,FALSE)+$I$75</f>
        <v>5.8</v>
      </c>
      <c r="G53" s="101">
        <f>VLOOKUP('3. СФ-МАШ-4 №2'!L53,$J$74:$K$137,2,FALSE)+$I$75</f>
        <v>5.8</v>
      </c>
      <c r="H53" s="102">
        <f>VLOOKUP('4. СФ-МАШ-4 №3'!L53,$J$74:$K$137,2,FALSE)+$I$75</f>
        <v>5.8</v>
      </c>
      <c r="I53" s="103">
        <f>VLOOKUP('5. СФ-МАШ-4 №4'!L53,$J$74:$K$137,2,FALSE)+$I$75</f>
        <v>5.8</v>
      </c>
      <c r="J53" s="66">
        <v>0.19</v>
      </c>
      <c r="K53" s="66">
        <v>0.11</v>
      </c>
      <c r="L53" s="66">
        <f>INT(МДанные!$D$138/M53)</f>
        <v>159</v>
      </c>
      <c r="M53" s="70">
        <v>1</v>
      </c>
      <c r="N53" s="56" t="s">
        <v>80</v>
      </c>
      <c r="O53" s="66">
        <v>0</v>
      </c>
      <c r="P53" s="100"/>
      <c r="Q53" s="101"/>
      <c r="R53" s="102"/>
      <c r="S53" s="103"/>
      <c r="U53" s="100">
        <f>MIN('2. СФ-МАШ-4 №1'!D53,IF('2. СФ-МАШ-4 №1'!K53=МДанные!$D$135,0,'2. СФ-МАШ-4 №1'!K53))</f>
        <v>0</v>
      </c>
      <c r="V53" s="100">
        <f t="shared" si="16"/>
        <v>0</v>
      </c>
      <c r="W53" s="101">
        <f>MIN('3. СФ-МАШ-4 №2'!D53,IF('3. СФ-МАШ-4 №2'!K53=МДанные!$D$135,0,'3. СФ-МАШ-4 №2'!K53))</f>
        <v>0</v>
      </c>
      <c r="X53" s="101">
        <f t="shared" si="17"/>
        <v>0</v>
      </c>
      <c r="Y53" s="102">
        <f>MIN('4. СФ-МАШ-4 №3'!D53,IF('4. СФ-МАШ-4 №3'!K53=МДанные!$D$135,0,'4. СФ-МАШ-4 №3'!K53))</f>
        <v>0</v>
      </c>
      <c r="Z53" s="102">
        <f t="shared" si="18"/>
        <v>0</v>
      </c>
      <c r="AA53" s="103">
        <f>MIN('5. СФ-МАШ-4 №4'!D53,IF('5. СФ-МАШ-4 №4'!K53=МДанные!$D$135,0,'5. СФ-МАШ-4 №4'!K53))</f>
        <v>0</v>
      </c>
      <c r="AB53" s="367">
        <f t="shared" si="19"/>
        <v>0</v>
      </c>
      <c r="AC53" s="56" t="s">
        <v>80</v>
      </c>
      <c r="AD53" s="100">
        <f t="shared" si="20"/>
        <v>159</v>
      </c>
      <c r="AE53" s="100">
        <f>INT((d1I-MAX(2-'2. СФ-МАШ-4 №1'!$D$93,0)*15)/('2. СФ-МАШ-4 №1'!F53+'2. СФ-МАШ-4 №1'!G53))</f>
        <v>32</v>
      </c>
      <c r="AF53" s="100">
        <f>INT((N1u-Nix*N1i)/(Nix-1))</f>
        <v>0</v>
      </c>
      <c r="AG53" s="101">
        <f t="shared" si="21"/>
        <v>159</v>
      </c>
      <c r="AH53" s="101">
        <f>INT((d2I-MAX(2-'3. СФ-МАШ-4 №2'!$D$93,0)*15)/('3. СФ-МАШ-4 №2'!F53+'3. СФ-МАШ-4 №2'!G53))</f>
        <v>32</v>
      </c>
      <c r="AI53" s="101">
        <f>INT((N2u-Nix*N2i)/(Nix-1))</f>
        <v>0</v>
      </c>
      <c r="AJ53" s="102">
        <f t="shared" si="22"/>
        <v>159</v>
      </c>
      <c r="AK53" s="102">
        <f>INT((d3I-MAX(2-'4. СФ-МАШ-4 №3'!$D$93,0)*15)/('4. СФ-МАШ-4 №3'!F53+'4. СФ-МАШ-4 №3'!G53))</f>
        <v>32</v>
      </c>
      <c r="AL53" s="102">
        <f>INT((N3u-Nix*N3i)/(Nix-1))</f>
        <v>0</v>
      </c>
      <c r="AM53" s="103">
        <f t="shared" si="23"/>
        <v>159</v>
      </c>
      <c r="AN53" s="103">
        <f>INT((d4I-MAX(2-'5. СФ-МАШ-4 №4'!$D$93,0)*15)/('5. СФ-МАШ-4 №4'!F53+'5. СФ-МАШ-4 №4'!G53))</f>
        <v>32</v>
      </c>
      <c r="AO53" s="103">
        <f>INT((N4u-Nix*N4i)/(Nix-1))</f>
        <v>0</v>
      </c>
    </row>
    <row r="54" spans="1:41" x14ac:dyDescent="0.25">
      <c r="B54">
        <v>54</v>
      </c>
      <c r="C54" s="49"/>
      <c r="D54" s="56"/>
      <c r="E54" s="66">
        <v>0.32</v>
      </c>
      <c r="F54" s="100">
        <f>VLOOKUP('2. СФ-МАШ-4 №1'!L54,$J$74:$K$137,2,FALSE)+$I$75</f>
        <v>9.3000000000000007</v>
      </c>
      <c r="G54" s="101">
        <f>VLOOKUP('3. СФ-МАШ-4 №2'!L54,$J$74:$K$137,2,FALSE)+$I$75</f>
        <v>9.3000000000000007</v>
      </c>
      <c r="H54" s="102">
        <f>VLOOKUP('4. СФ-МАШ-4 №3'!L54,$J$74:$K$137,2,FALSE)+$I$75</f>
        <v>9.3000000000000007</v>
      </c>
      <c r="I54" s="103">
        <f>VLOOKUP('5. СФ-МАШ-4 №4'!L54,$J$74:$K$137,2,FALSE)+$I$75</f>
        <v>9.3000000000000007</v>
      </c>
      <c r="J54" s="66">
        <v>0.19</v>
      </c>
      <c r="K54" s="66">
        <v>0.11</v>
      </c>
      <c r="L54" s="66">
        <f>INT(МДанные!$D$138/M54)</f>
        <v>159</v>
      </c>
      <c r="M54" s="70">
        <v>1</v>
      </c>
      <c r="N54" s="56"/>
      <c r="O54" s="66">
        <v>0</v>
      </c>
      <c r="P54" s="100"/>
      <c r="Q54" s="101"/>
      <c r="R54" s="102"/>
      <c r="S54" s="103"/>
      <c r="U54" s="100">
        <f>MIN('2. СФ-МАШ-4 №1'!D54,IF('2. СФ-МАШ-4 №1'!K54=МДанные!$D$135,0,'2. СФ-МАШ-4 №1'!K54))</f>
        <v>0</v>
      </c>
      <c r="V54" s="100">
        <f t="shared" si="16"/>
        <v>0</v>
      </c>
      <c r="W54" s="101">
        <f>MIN('3. СФ-МАШ-4 №2'!D54,IF('3. СФ-МАШ-4 №2'!K54=МДанные!$D$135,0,'3. СФ-МАШ-4 №2'!K54))</f>
        <v>0</v>
      </c>
      <c r="X54" s="101">
        <f t="shared" si="17"/>
        <v>0</v>
      </c>
      <c r="Y54" s="102">
        <f>MIN('4. СФ-МАШ-4 №3'!D54,IF('4. СФ-МАШ-4 №3'!K54=МДанные!$D$135,0,'4. СФ-МАШ-4 №3'!K54))</f>
        <v>0</v>
      </c>
      <c r="Z54" s="102">
        <f t="shared" si="18"/>
        <v>0</v>
      </c>
      <c r="AA54" s="103">
        <f>MIN('5. СФ-МАШ-4 №4'!D54,IF('5. СФ-МАШ-4 №4'!K54=МДанные!$D$135,0,'5. СФ-МАШ-4 №4'!K54))</f>
        <v>0</v>
      </c>
      <c r="AB54" s="367">
        <f t="shared" si="19"/>
        <v>0</v>
      </c>
      <c r="AC54" s="56"/>
      <c r="AD54" s="100">
        <f t="shared" si="20"/>
        <v>159</v>
      </c>
      <c r="AE54" s="100">
        <f>INT((d1I-MAX(2-'2. СФ-МАШ-4 №1'!$D$93,0)*15)/('2. СФ-МАШ-4 №1'!F54+'2. СФ-МАШ-4 №1'!G54))</f>
        <v>20</v>
      </c>
      <c r="AF54" s="100">
        <f>INT((N1u-Nix*N1i)/(Nix-1))</f>
        <v>0</v>
      </c>
      <c r="AG54" s="101">
        <f t="shared" si="21"/>
        <v>159</v>
      </c>
      <c r="AH54" s="101">
        <f>INT((d2I-MAX(2-'3. СФ-МАШ-4 №2'!$D$93,0)*15)/('3. СФ-МАШ-4 №2'!F54+'3. СФ-МАШ-4 №2'!G54))</f>
        <v>20</v>
      </c>
      <c r="AI54" s="101">
        <f>INT((N2u-Nix*N2i)/(Nix-1))</f>
        <v>0</v>
      </c>
      <c r="AJ54" s="102">
        <f t="shared" si="22"/>
        <v>159</v>
      </c>
      <c r="AK54" s="102">
        <f>INT((d3I-MAX(2-'4. СФ-МАШ-4 №3'!$D$93,0)*15)/('4. СФ-МАШ-4 №3'!F54+'4. СФ-МАШ-4 №3'!G54))</f>
        <v>20</v>
      </c>
      <c r="AL54" s="102">
        <f>INT((N3u-Nix*N3i)/(Nix-1))</f>
        <v>0</v>
      </c>
      <c r="AM54" s="103">
        <f t="shared" si="23"/>
        <v>159</v>
      </c>
      <c r="AN54" s="103">
        <f>INT((d4I-MAX(2-'5. СФ-МАШ-4 №4'!$D$93,0)*15)/('5. СФ-МАШ-4 №4'!F54+'5. СФ-МАШ-4 №4'!G54))</f>
        <v>20</v>
      </c>
      <c r="AO54" s="103">
        <f>INT((N4u-Nix*N4i)/(Nix-1))</f>
        <v>0</v>
      </c>
    </row>
    <row r="55" spans="1:41" x14ac:dyDescent="0.25">
      <c r="B55">
        <v>55</v>
      </c>
      <c r="C55" s="49"/>
      <c r="D55" s="56" t="s">
        <v>81</v>
      </c>
      <c r="E55" s="57">
        <v>0.31</v>
      </c>
      <c r="F55" s="57">
        <v>2.97</v>
      </c>
      <c r="J55" s="57">
        <v>0.19</v>
      </c>
      <c r="K55" s="57">
        <v>0</v>
      </c>
      <c r="L55" s="66">
        <f>INT(МДанные!$D$138/M55)</f>
        <v>159</v>
      </c>
      <c r="M55" s="70">
        <v>1</v>
      </c>
      <c r="N55" s="56" t="s">
        <v>81</v>
      </c>
      <c r="O55" s="57">
        <v>0</v>
      </c>
      <c r="P55" s="100"/>
      <c r="Q55" s="101"/>
      <c r="R55" s="102"/>
      <c r="S55" s="103"/>
      <c r="U55" s="100">
        <f>MIN('2. СФ-МАШ-4 №1'!D55,IF('2. СФ-МАШ-4 №1'!K55=МДанные!$D$135,0,'2. СФ-МАШ-4 №1'!K55))</f>
        <v>0</v>
      </c>
      <c r="V55" s="100">
        <f t="shared" si="16"/>
        <v>0</v>
      </c>
      <c r="W55" s="101">
        <f>MIN('3. СФ-МАШ-4 №2'!D55,IF('3. СФ-МАШ-4 №2'!K55=МДанные!$D$135,0,'3. СФ-МАШ-4 №2'!K55))</f>
        <v>0</v>
      </c>
      <c r="X55" s="101">
        <f t="shared" si="17"/>
        <v>0</v>
      </c>
      <c r="Y55" s="102">
        <f>MIN('4. СФ-МАШ-4 №3'!D55,IF('4. СФ-МАШ-4 №3'!K55=МДанные!$D$135,0,'4. СФ-МАШ-4 №3'!K55))</f>
        <v>0</v>
      </c>
      <c r="Z55" s="102">
        <f t="shared" si="18"/>
        <v>0</v>
      </c>
      <c r="AA55" s="103">
        <f>MIN('5. СФ-МАШ-4 №4'!D55,IF('5. СФ-МАШ-4 №4'!K55=МДанные!$D$135,0,'5. СФ-МАШ-4 №4'!K55))</f>
        <v>0</v>
      </c>
      <c r="AB55" s="367">
        <f t="shared" si="19"/>
        <v>0</v>
      </c>
      <c r="AC55" s="56" t="s">
        <v>81</v>
      </c>
      <c r="AD55" s="100">
        <f t="shared" si="20"/>
        <v>159</v>
      </c>
      <c r="AE55" s="100">
        <f>INT(d1I/('2. СФ-МАШ-4 №1'!F55+'2. СФ-МАШ-4 №1'!G55))</f>
        <v>71</v>
      </c>
      <c r="AF55" s="100"/>
      <c r="AG55" s="101">
        <f t="shared" si="21"/>
        <v>159</v>
      </c>
      <c r="AH55" s="101">
        <f>INT(d2I/('3. СФ-МАШ-4 №2'!F55+'3. СФ-МАШ-4 №2'!G55))</f>
        <v>71</v>
      </c>
      <c r="AI55" s="101"/>
      <c r="AJ55" s="102">
        <f t="shared" si="22"/>
        <v>159</v>
      </c>
      <c r="AK55" s="102">
        <f>INT(d3I/('4. СФ-МАШ-4 №3'!F55+'4. СФ-МАШ-4 №3'!G55))</f>
        <v>71</v>
      </c>
      <c r="AL55" s="102"/>
      <c r="AM55" s="103">
        <f t="shared" si="23"/>
        <v>159</v>
      </c>
      <c r="AN55" s="103">
        <f>INT(d4I/('5. СФ-МАШ-4 №4'!F55+'5. СФ-МАШ-4 №4'!G55))</f>
        <v>71</v>
      </c>
      <c r="AO55" s="103"/>
    </row>
    <row r="56" spans="1:41" x14ac:dyDescent="0.25">
      <c r="B56">
        <v>56</v>
      </c>
      <c r="C56" s="49"/>
      <c r="D56" s="53" t="s">
        <v>82</v>
      </c>
      <c r="E56" s="54"/>
      <c r="F56" s="54"/>
      <c r="G56" s="54"/>
      <c r="H56" s="54"/>
      <c r="I56" s="55"/>
      <c r="J56" s="71"/>
      <c r="N56" s="53" t="s">
        <v>82</v>
      </c>
      <c r="O56" s="54"/>
      <c r="P56" s="100"/>
      <c r="Q56" s="101"/>
      <c r="R56" s="102"/>
      <c r="S56" s="103"/>
      <c r="U56" s="100"/>
      <c r="V56" s="100"/>
      <c r="W56" s="101"/>
      <c r="X56" s="101"/>
      <c r="Y56" s="102"/>
      <c r="Z56" s="102"/>
      <c r="AA56" s="103"/>
      <c r="AB56" s="367"/>
      <c r="AC56" s="53" t="s">
        <v>82</v>
      </c>
      <c r="AD56" s="100"/>
      <c r="AE56" s="100"/>
      <c r="AF56" s="100"/>
      <c r="AG56" s="101"/>
      <c r="AH56" s="101"/>
      <c r="AI56" s="101"/>
      <c r="AJ56" s="102"/>
      <c r="AK56" s="102"/>
      <c r="AL56" s="102"/>
      <c r="AM56" s="103"/>
      <c r="AN56" s="103"/>
      <c r="AO56" s="103"/>
    </row>
    <row r="57" spans="1:41" x14ac:dyDescent="0.25">
      <c r="B57">
        <v>57</v>
      </c>
      <c r="C57" s="49"/>
      <c r="D57" s="56" t="s">
        <v>85</v>
      </c>
      <c r="E57" s="57">
        <v>0.1</v>
      </c>
      <c r="F57" s="57">
        <v>2</v>
      </c>
      <c r="G57" s="57">
        <v>0</v>
      </c>
      <c r="H57" s="57">
        <v>0</v>
      </c>
      <c r="I57" s="100">
        <f>SUM('2. СФ-МАШ-4 №1'!D8:D17)</f>
        <v>0</v>
      </c>
      <c r="J57" s="72"/>
      <c r="N57" s="56" t="s">
        <v>85</v>
      </c>
      <c r="O57" s="57"/>
      <c r="P57" s="100"/>
      <c r="Q57" s="101"/>
      <c r="R57" s="102"/>
      <c r="S57" s="103"/>
      <c r="U57" s="100"/>
      <c r="V57" s="100"/>
      <c r="W57" s="101"/>
      <c r="X57" s="101"/>
      <c r="Y57" s="102"/>
      <c r="Z57" s="102"/>
      <c r="AA57" s="103"/>
      <c r="AB57" s="367"/>
      <c r="AC57" s="56" t="s">
        <v>85</v>
      </c>
      <c r="AD57" s="100"/>
      <c r="AE57" s="100">
        <f>IF(d1I/('2. СФ-МАШ-4 №1'!G57+'2. СФ-МАШ-4 №1'!F57)&lt;5-'2. СФ-МАШ-4 №1'!I57,MIN(INT(d1I/('2. СФ-МАШ-4 №1'!G57+'2. СФ-МАШ-4 №1'!F57)),SUM('2. СФ-МАШ-4 №1'!I8:I17)),INT((d1I-(SUM('2. СФ-МАШ-4 №1'!I8:I17)-'2. СФ-МАШ-4 №1'!I57)*('2. СФ-МАШ-4 №1'!F57+'2. СФ-МАШ-4 №1'!G57))/'2. СФ-МАШ-4 №1'!F57)+(SUM('2. СФ-МАШ-4 №1'!I8:I17)-'2. СФ-МАШ-4 №1'!I57))</f>
        <v>2336</v>
      </c>
      <c r="AF57" s="100">
        <f>SUM('2. СФ-МАШ-4 №1'!D8:D17)-'2. СФ-МАШ-4 №1'!D57</f>
        <v>0</v>
      </c>
      <c r="AG57" s="101"/>
      <c r="AH57" s="101">
        <f>IF(d2I/('3. СФ-МАШ-4 №2'!G57+'3. СФ-МАШ-4 №2'!F57)&lt;5-'3. СФ-МАШ-4 №2'!I57,MIN(INT(d2I/('3. СФ-МАШ-4 №2'!G57+'3. СФ-МАШ-4 №2'!F57)),SUM('3. СФ-МАШ-4 №2'!I8:I17)),INT((d2I-(SUM('3. СФ-МАШ-4 №2'!I8:I17)-'3. СФ-МАШ-4 №2'!I57)*('3. СФ-МАШ-4 №2'!F57+'3. СФ-МАШ-4 №2'!G57))/'3. СФ-МАШ-4 №2'!F57)+(SUM('3. СФ-МАШ-4 №2'!I8:I17)-'3. СФ-МАШ-4 №2'!I57))</f>
        <v>2336</v>
      </c>
      <c r="AI57" s="101">
        <f>SUM('3. СФ-МАШ-4 №2'!D8:D17)-'3. СФ-МАШ-4 №2'!D57</f>
        <v>0</v>
      </c>
      <c r="AJ57" s="102"/>
      <c r="AK57" s="102">
        <f>IF(d3I/('4. СФ-МАШ-4 №3'!G57+'4. СФ-МАШ-4 №3'!F57)&lt;5-'4. СФ-МАШ-4 №3'!I57,MIN(INT(d3I/('4. СФ-МАШ-4 №3'!G57+'4. СФ-МАШ-4 №3'!F57)),SUM('4. СФ-МАШ-4 №3'!I8:I17)),INT((d3I-(SUM('4. СФ-МАШ-4 №3'!I8:I17)-'4. СФ-МАШ-4 №3'!I57)*('4. СФ-МАШ-4 №3'!F57+'4. СФ-МАШ-4 №3'!G57))/'4. СФ-МАШ-4 №3'!F57)+(SUM('4. СФ-МАШ-4 №3'!I8:I17)-'4. СФ-МАШ-4 №3'!I57))</f>
        <v>2336</v>
      </c>
      <c r="AL57" s="102">
        <f>SUM('4. СФ-МАШ-4 №3'!D8:D17)-'4. СФ-МАШ-4 №3'!D572</f>
        <v>0</v>
      </c>
      <c r="AM57" s="103"/>
      <c r="AN57" s="103">
        <f>IF(d4I/('5. СФ-МАШ-4 №4'!G57+'5. СФ-МАШ-4 №4'!F57)&lt;5-'5. СФ-МАШ-4 №4'!I57,MIN(INT(d4I/('5. СФ-МАШ-4 №4'!G57+'5. СФ-МАШ-4 №4'!F57)),SUM('5. СФ-МАШ-4 №4'!I8:I17)),INT((d4I-(SUM('5. СФ-МАШ-4 №4'!I8:I17)-'5. СФ-МАШ-4 №4'!I57)*('5. СФ-МАШ-4 №4'!F57+'5. СФ-МАШ-4 №4'!G57))/'5. СФ-МАШ-4 №4'!F57)+(SUM('5. СФ-МАШ-4 №4'!I8:I17)-'5. СФ-МАШ-4 №4'!I57))</f>
        <v>2336</v>
      </c>
      <c r="AO57" s="103">
        <f>SUM('5. СФ-МАШ-4 №4'!D8:D17)-'5. СФ-МАШ-4 №4'!D57</f>
        <v>0</v>
      </c>
    </row>
    <row r="58" spans="1:41" x14ac:dyDescent="0.25">
      <c r="B58">
        <v>58</v>
      </c>
      <c r="C58" s="49"/>
      <c r="I58" s="101">
        <f>SUM('3. СФ-МАШ-4 №2'!D8:D17)</f>
        <v>0</v>
      </c>
      <c r="J58" s="72"/>
      <c r="N58" s="56" t="s">
        <v>83</v>
      </c>
      <c r="O58" s="57"/>
      <c r="P58" s="100"/>
      <c r="Q58" s="101"/>
      <c r="R58" s="102"/>
      <c r="S58" s="103"/>
      <c r="U58" s="100"/>
      <c r="V58" s="100"/>
      <c r="W58" s="101"/>
      <c r="X58" s="101"/>
      <c r="Y58" s="102"/>
      <c r="Z58" s="102"/>
      <c r="AA58" s="103"/>
      <c r="AB58" s="367"/>
      <c r="AC58" s="56" t="s">
        <v>83</v>
      </c>
      <c r="AD58" s="100"/>
      <c r="AE58" s="100">
        <f>IF(d1I/('2. СФ-МАШ-4 №1'!G58+'2. СФ-МАШ-4 №1'!F58)&lt;5-'2. СФ-МАШ-4 №1'!I58,MIN(INT(d1I/('2. СФ-МАШ-4 №1'!G58+'2. СФ-МАШ-4 №1'!F58)),'2. СФ-МАШ-4 №1'!I18),INT((d1I-('2. СФ-МАШ-4 №1'!I18-'2. СФ-МАШ-4 №1'!I58)*('2. СФ-МАШ-4 №1'!F58+'2. СФ-МАШ-4 №1'!G58))/'2. СФ-МАШ-4 №1'!F58)+('2. СФ-МАШ-4 №1'!I18-'2. СФ-МАШ-4 №1'!I58))</f>
        <v>2336</v>
      </c>
      <c r="AF58" s="100">
        <f>'2. СФ-МАШ-4 №1'!D18-'2. СФ-МАШ-4 №1'!D58</f>
        <v>0</v>
      </c>
      <c r="AG58" s="101"/>
      <c r="AH58" s="101">
        <f>IF(d2I/('3. СФ-МАШ-4 №2'!G58+'3. СФ-МАШ-4 №2'!F58)&lt;5-'3. СФ-МАШ-4 №2'!I58,MIN(INT(d2I/('3. СФ-МАШ-4 №2'!G58+'3. СФ-МАШ-4 №2'!F58)),'3. СФ-МАШ-4 №2'!I18),INT((d2I-('3. СФ-МАШ-4 №2'!I18-'3. СФ-МАШ-4 №2'!I58)*('3. СФ-МАШ-4 №2'!F58+'3. СФ-МАШ-4 №2'!G58))/'3. СФ-МАШ-4 №2'!F58)+('3. СФ-МАШ-4 №2'!I18-'3. СФ-МАШ-4 №2'!I58))</f>
        <v>2336</v>
      </c>
      <c r="AI58" s="101">
        <f>'3. СФ-МАШ-4 №2'!D18-'3. СФ-МАШ-4 №2'!D58</f>
        <v>0</v>
      </c>
      <c r="AJ58" s="102"/>
      <c r="AK58" s="102">
        <f>IF(d3I/('4. СФ-МАШ-4 №3'!G58+'4. СФ-МАШ-4 №3'!F58)&lt;5-'4. СФ-МАШ-4 №3'!I58,MIN(INT(d3I/('4. СФ-МАШ-4 №3'!G58+'4. СФ-МАШ-4 №3'!F58)),'4. СФ-МАШ-4 №3'!I18),INT((d3I-('4. СФ-МАШ-4 №3'!I18-'4. СФ-МАШ-4 №3'!I58)*('4. СФ-МАШ-4 №3'!F58+'4. СФ-МАШ-4 №3'!G58))/'4. СФ-МАШ-4 №3'!F58)+('4. СФ-МАШ-4 №3'!I18-'4. СФ-МАШ-4 №3'!I58))</f>
        <v>2336</v>
      </c>
      <c r="AL58" s="102">
        <f>'4. СФ-МАШ-4 №3'!D18-'4. СФ-МАШ-4 №3'!D58</f>
        <v>0</v>
      </c>
      <c r="AM58" s="103"/>
      <c r="AN58" s="103">
        <f>IF(d4I/('5. СФ-МАШ-4 №4'!G58+'5. СФ-МАШ-4 №4'!F58)&lt;5-'5. СФ-МАШ-4 №4'!I58,MIN(INT(d4I/('5. СФ-МАШ-4 №4'!G58+'5. СФ-МАШ-4 №4'!F58)),'5. СФ-МАШ-4 №4'!I18),INT((d4I-('5. СФ-МАШ-4 №4'!I18-'5. СФ-МАШ-4 №4'!I58)*('5. СФ-МАШ-4 №4'!F58+'5. СФ-МАШ-4 №4'!G58))/'5. СФ-МАШ-4 №4'!F58)+('5. СФ-МАШ-4 №4'!I18-'5. СФ-МАШ-4 №4'!I58))</f>
        <v>2336</v>
      </c>
      <c r="AO58" s="103">
        <f>'5. СФ-МАШ-4 №4'!D18-'5. СФ-МАШ-4 №4'!D58</f>
        <v>0</v>
      </c>
    </row>
    <row r="59" spans="1:41" x14ac:dyDescent="0.25">
      <c r="B59">
        <v>59</v>
      </c>
      <c r="C59" s="49"/>
      <c r="I59" s="102">
        <f>SUM('4. СФ-МАШ-4 №3'!D8:D17)</f>
        <v>0</v>
      </c>
      <c r="J59" s="72"/>
      <c r="N59" s="56" t="s">
        <v>86</v>
      </c>
      <c r="O59" s="57"/>
      <c r="P59" s="100"/>
      <c r="Q59" s="101"/>
      <c r="R59" s="102"/>
      <c r="S59" s="103"/>
      <c r="U59" s="100"/>
      <c r="V59" s="100"/>
      <c r="W59" s="101"/>
      <c r="X59" s="101"/>
      <c r="Y59" s="102"/>
      <c r="Z59" s="102"/>
      <c r="AA59" s="103"/>
      <c r="AB59" s="367"/>
      <c r="AC59" s="56" t="s">
        <v>86</v>
      </c>
      <c r="AD59" s="100"/>
      <c r="AE59" s="100">
        <f>INT((d1I+('2. СФ-МАШ-4 №1'!F19+'2. СФ-МАШ-4 №1'!G19)*(MAX(0,'2. СФ-МАШ-4 №1'!D19-'2. СФ-МАШ-4 №1'!D59)-MAX(0,'2. СФ-МАШ-4 №1'!D59-'2. СФ-МАШ-4 №1'!D19)))/('2. СФ-МАШ-4 №1'!F59+'2. СФ-МАШ-4 №1'!F60+'2. СФ-МАШ-4 №1'!F19+'2. СФ-МАШ-4 №1'!G19))</f>
        <v>18</v>
      </c>
      <c r="AF59" s="100"/>
      <c r="AG59" s="101"/>
      <c r="AH59" s="101">
        <f>INT((d2I+('3. СФ-МАШ-4 №2'!F19+'3. СФ-МАШ-4 №2'!G19)*(MAX(0,'3. СФ-МАШ-4 №2'!D19-'3. СФ-МАШ-4 №2'!D59)-MAX(0,'3. СФ-МАШ-4 №2'!D59-'3. СФ-МАШ-4 №2'!D19)))/('3. СФ-МАШ-4 №2'!F59+'3. СФ-МАШ-4 №2'!F60+'3. СФ-МАШ-4 №2'!F19+'3. СФ-МАШ-4 №2'!G19))</f>
        <v>18</v>
      </c>
      <c r="AI59" s="101"/>
      <c r="AJ59" s="102"/>
      <c r="AK59" s="102">
        <f>INT((d3I+('4. СФ-МАШ-4 №3'!F19+'4. СФ-МАШ-4 №3'!G19)*(MAX(0,'4. СФ-МАШ-4 №3'!D19-'4. СФ-МАШ-4 №3'!D59)-MAX(0,'4. СФ-МАШ-4 №3'!D59-'4. СФ-МАШ-4 №3'!D19)))/('4. СФ-МАШ-4 №3'!F59+'4. СФ-МАШ-4 №3'!F60+'4. СФ-МАШ-4 №3'!F19+'4. СФ-МАШ-4 №3'!G19))</f>
        <v>18</v>
      </c>
      <c r="AL59" s="102"/>
      <c r="AM59" s="103"/>
      <c r="AN59" s="103">
        <f>INT((d4I+('5. СФ-МАШ-4 №4'!F19+'5. СФ-МАШ-4 №4'!G19)*(MAX(0,'5. СФ-МАШ-4 №4'!D19-'5. СФ-МАШ-4 №4'!D59)-MAX(0,'5. СФ-МАШ-4 №4'!D59-'5. СФ-МАШ-4 №4'!D19)))/('5. СФ-МАШ-4 №4'!F59+'5. СФ-МАШ-4 №4'!F60+'5. СФ-МАШ-4 №4'!F19+'5. СФ-МАШ-4 №4'!G19))</f>
        <v>18</v>
      </c>
      <c r="AO59" s="103"/>
    </row>
    <row r="60" spans="1:41" x14ac:dyDescent="0.25">
      <c r="B60">
        <v>60</v>
      </c>
      <c r="C60" s="49"/>
      <c r="I60" s="103">
        <f>SUM('5. СФ-МАШ-4 №4'!D8:D17)</f>
        <v>0</v>
      </c>
      <c r="J60" s="72"/>
      <c r="N60" s="56" t="s">
        <v>87</v>
      </c>
      <c r="O60" s="57"/>
      <c r="P60" s="100"/>
      <c r="Q60" s="101"/>
      <c r="R60" s="102"/>
      <c r="S60" s="103"/>
      <c r="U60" s="100"/>
      <c r="V60" s="100"/>
      <c r="W60" s="101"/>
      <c r="X60" s="101"/>
      <c r="Y60" s="102"/>
      <c r="Z60" s="102"/>
      <c r="AA60" s="103"/>
      <c r="AB60" s="367"/>
      <c r="AC60" s="56" t="s">
        <v>87</v>
      </c>
      <c r="AD60" s="100"/>
      <c r="AE60" s="100">
        <f>AE59</f>
        <v>18</v>
      </c>
      <c r="AF60" s="100"/>
      <c r="AG60" s="101"/>
      <c r="AH60" s="101">
        <f>AH59</f>
        <v>18</v>
      </c>
      <c r="AI60" s="101"/>
      <c r="AJ60" s="102"/>
      <c r="AK60" s="102">
        <f>AK59</f>
        <v>18</v>
      </c>
      <c r="AL60" s="102"/>
      <c r="AM60" s="103"/>
      <c r="AN60" s="103">
        <f>AN59</f>
        <v>18</v>
      </c>
      <c r="AO60" s="103"/>
    </row>
    <row r="61" spans="1:41" x14ac:dyDescent="0.25">
      <c r="A61" s="49"/>
      <c r="B61">
        <v>61</v>
      </c>
      <c r="C61" s="49"/>
      <c r="D61" s="56" t="s">
        <v>83</v>
      </c>
      <c r="E61" s="57">
        <v>0.1</v>
      </c>
      <c r="F61" s="57">
        <v>10.8</v>
      </c>
      <c r="G61" s="57">
        <v>0</v>
      </c>
      <c r="H61" s="57">
        <v>0</v>
      </c>
      <c r="I61" s="100">
        <f>'2. СФ-МАШ-4 №1'!D18</f>
        <v>0</v>
      </c>
      <c r="J61" s="49"/>
      <c r="K61" s="49"/>
      <c r="L61" s="49"/>
    </row>
    <row r="62" spans="1:41" x14ac:dyDescent="0.25">
      <c r="A62" s="49"/>
      <c r="B62">
        <v>62</v>
      </c>
      <c r="C62" s="49"/>
      <c r="I62" s="101">
        <f>'3. СФ-МАШ-4 №2'!D18</f>
        <v>0</v>
      </c>
      <c r="J62" s="49"/>
      <c r="K62" s="49"/>
      <c r="L62" s="49"/>
    </row>
    <row r="63" spans="1:41" x14ac:dyDescent="0.25">
      <c r="A63" s="49"/>
      <c r="B63">
        <v>63</v>
      </c>
      <c r="C63" s="49"/>
      <c r="I63" s="102">
        <f>'4. СФ-МАШ-4 №3'!D18</f>
        <v>0</v>
      </c>
      <c r="J63" s="49"/>
      <c r="K63" s="49"/>
      <c r="L63" s="49"/>
    </row>
    <row r="64" spans="1:41" x14ac:dyDescent="0.25">
      <c r="A64" s="49"/>
      <c r="B64">
        <v>64</v>
      </c>
      <c r="C64" s="49"/>
      <c r="D64" s="49"/>
      <c r="E64" s="49"/>
      <c r="F64" s="49"/>
      <c r="G64" s="49"/>
      <c r="H64" s="49"/>
      <c r="I64" s="103">
        <f>'5. СФ-МАШ-4 №4'!D18</f>
        <v>0</v>
      </c>
      <c r="J64" s="49"/>
      <c r="K64" s="49"/>
      <c r="L64" s="49"/>
    </row>
    <row r="65" spans="1:12" x14ac:dyDescent="0.25">
      <c r="A65" s="49"/>
      <c r="B65">
        <v>65</v>
      </c>
      <c r="C65" s="49"/>
      <c r="D65" s="56" t="s">
        <v>86</v>
      </c>
      <c r="E65" s="57">
        <v>7.55</v>
      </c>
      <c r="F65" s="57">
        <v>0</v>
      </c>
      <c r="G65" s="57">
        <v>0</v>
      </c>
      <c r="H65" s="57">
        <v>0</v>
      </c>
      <c r="I65" s="66">
        <v>99</v>
      </c>
      <c r="J65" s="49"/>
      <c r="K65" s="49"/>
      <c r="L65" s="49"/>
    </row>
    <row r="66" spans="1:12" x14ac:dyDescent="0.25">
      <c r="A66" s="49"/>
      <c r="B66">
        <v>66</v>
      </c>
      <c r="C66" s="49"/>
      <c r="D66" s="56" t="s">
        <v>87</v>
      </c>
      <c r="E66" s="57">
        <v>1.5</v>
      </c>
      <c r="F66" s="57">
        <v>0</v>
      </c>
      <c r="G66" s="57">
        <v>0</v>
      </c>
      <c r="H66" s="57">
        <v>0</v>
      </c>
      <c r="I66" s="66">
        <v>99</v>
      </c>
      <c r="J66" s="49"/>
      <c r="K66" s="49"/>
      <c r="L66" s="49"/>
    </row>
    <row r="67" spans="1:12" x14ac:dyDescent="0.25">
      <c r="A67" s="49"/>
      <c r="B67">
        <v>67</v>
      </c>
      <c r="C67" s="49"/>
      <c r="D67" s="65"/>
      <c r="E67" s="120"/>
      <c r="F67" s="120"/>
      <c r="G67" s="120"/>
      <c r="H67" s="120"/>
      <c r="I67" s="120"/>
      <c r="J67" s="49"/>
      <c r="K67" s="49"/>
      <c r="L67" s="49"/>
    </row>
    <row r="68" spans="1:12" x14ac:dyDescent="0.25">
      <c r="A68" s="49"/>
      <c r="C68" s="49"/>
      <c r="D68" s="56" t="s">
        <v>449</v>
      </c>
      <c r="E68" s="66">
        <v>86</v>
      </c>
      <c r="F68" s="120"/>
      <c r="G68" s="120"/>
      <c r="H68" s="120"/>
      <c r="I68" s="120"/>
      <c r="J68" s="49"/>
      <c r="K68" s="49"/>
      <c r="L68" s="49"/>
    </row>
    <row r="69" spans="1:12" x14ac:dyDescent="0.25">
      <c r="A69" s="49"/>
      <c r="C69" s="49"/>
      <c r="D69" s="65"/>
      <c r="E69" s="120"/>
      <c r="F69" s="120"/>
      <c r="G69" s="120"/>
      <c r="H69" s="120"/>
      <c r="I69" s="120"/>
      <c r="J69" s="49"/>
      <c r="K69" s="49"/>
      <c r="L69" s="49"/>
    </row>
    <row r="70" spans="1:12" x14ac:dyDescent="0.25">
      <c r="A70" s="49"/>
      <c r="B70" s="58" t="s">
        <v>184</v>
      </c>
      <c r="C70" s="58" t="s">
        <v>185</v>
      </c>
      <c r="D70" s="50"/>
      <c r="E70" s="50"/>
      <c r="F70" s="50"/>
      <c r="G70" s="50"/>
      <c r="H70" s="50"/>
      <c r="I70" s="50"/>
      <c r="J70" s="50"/>
      <c r="K70" s="50"/>
      <c r="L70" s="49"/>
    </row>
    <row r="71" spans="1:12" x14ac:dyDescent="0.25">
      <c r="A71" s="49"/>
      <c r="B71" s="50">
        <v>71</v>
      </c>
      <c r="C71" s="50"/>
      <c r="D71" s="50"/>
      <c r="E71" s="50"/>
      <c r="F71" s="50"/>
      <c r="G71" s="50"/>
      <c r="H71" s="50"/>
      <c r="I71" s="50"/>
      <c r="J71" s="50"/>
      <c r="K71" s="50"/>
      <c r="L71" s="49"/>
    </row>
    <row r="72" spans="1:12" x14ac:dyDescent="0.25">
      <c r="A72" s="49"/>
      <c r="B72" s="50">
        <v>72</v>
      </c>
      <c r="C72" s="50" t="s">
        <v>190</v>
      </c>
      <c r="D72" s="50"/>
      <c r="E72" s="50"/>
      <c r="F72" s="50"/>
      <c r="G72" s="50"/>
      <c r="H72" s="50"/>
      <c r="I72" s="50" t="s">
        <v>200</v>
      </c>
      <c r="J72" s="50"/>
      <c r="K72" s="50"/>
      <c r="L72" s="49"/>
    </row>
    <row r="73" spans="1:12" x14ac:dyDescent="0.25">
      <c r="A73" s="49"/>
      <c r="B73" s="50">
        <v>73</v>
      </c>
      <c r="C73" s="56" t="s">
        <v>186</v>
      </c>
      <c r="D73" s="56" t="s">
        <v>189</v>
      </c>
      <c r="E73" s="50"/>
      <c r="F73" s="50"/>
      <c r="G73" s="50"/>
      <c r="H73" s="50"/>
      <c r="I73" s="59" t="s">
        <v>92</v>
      </c>
      <c r="J73" s="57" t="s">
        <v>94</v>
      </c>
      <c r="K73" s="57" t="s">
        <v>199</v>
      </c>
      <c r="L73" s="49"/>
    </row>
    <row r="74" spans="1:12" x14ac:dyDescent="0.25">
      <c r="A74" s="49"/>
      <c r="B74" s="50">
        <v>74</v>
      </c>
      <c r="C74" s="56" t="s">
        <v>187</v>
      </c>
      <c r="D74" s="56" t="s">
        <v>188</v>
      </c>
      <c r="E74" s="50"/>
      <c r="F74" s="50"/>
      <c r="G74" s="50"/>
      <c r="H74" s="50"/>
      <c r="I74" s="60" t="s">
        <v>93</v>
      </c>
      <c r="J74" s="61" t="s">
        <v>99</v>
      </c>
      <c r="K74" s="61">
        <v>6</v>
      </c>
      <c r="L74" s="49"/>
    </row>
    <row r="75" spans="1:12" x14ac:dyDescent="0.25">
      <c r="A75" s="49"/>
      <c r="B75" s="50">
        <v>75</v>
      </c>
      <c r="C75" s="50"/>
      <c r="D75" s="50"/>
      <c r="E75" s="50"/>
      <c r="F75" s="50"/>
      <c r="G75" s="50"/>
      <c r="H75" s="50"/>
      <c r="I75" s="62">
        <v>3.3</v>
      </c>
      <c r="J75" s="61" t="s">
        <v>100</v>
      </c>
      <c r="K75" s="61">
        <v>5.4</v>
      </c>
      <c r="L75" s="49"/>
    </row>
    <row r="76" spans="1:12" x14ac:dyDescent="0.25">
      <c r="A76" s="49"/>
      <c r="B76" s="50">
        <v>76</v>
      </c>
      <c r="C76" s="50" t="s">
        <v>191</v>
      </c>
      <c r="D76" s="50"/>
      <c r="E76" s="50"/>
      <c r="F76" s="50"/>
      <c r="G76" s="50"/>
      <c r="H76" s="50"/>
      <c r="I76" s="50"/>
      <c r="J76" s="61" t="s">
        <v>101</v>
      </c>
      <c r="K76" s="61">
        <v>5.3</v>
      </c>
      <c r="L76" s="49"/>
    </row>
    <row r="77" spans="1:12" x14ac:dyDescent="0.25">
      <c r="A77" s="49"/>
      <c r="B77" s="50">
        <v>77</v>
      </c>
      <c r="C77" s="56" t="s">
        <v>95</v>
      </c>
      <c r="D77" s="56">
        <v>0.95</v>
      </c>
      <c r="E77" s="50"/>
      <c r="F77" s="50"/>
      <c r="G77" s="50"/>
      <c r="H77" s="50"/>
      <c r="I77" s="50"/>
      <c r="J77" s="61" t="s">
        <v>102</v>
      </c>
      <c r="K77" s="61">
        <v>5.3</v>
      </c>
      <c r="L77" s="49"/>
    </row>
    <row r="78" spans="1:12" x14ac:dyDescent="0.25">
      <c r="A78" s="49"/>
      <c r="B78" s="50">
        <v>78</v>
      </c>
      <c r="C78" s="56" t="s">
        <v>96</v>
      </c>
      <c r="D78" s="56">
        <v>2.7650000000000001</v>
      </c>
      <c r="E78" s="50"/>
      <c r="F78" s="50"/>
      <c r="G78" s="50"/>
      <c r="H78" s="50"/>
      <c r="I78" s="50"/>
      <c r="J78" s="61" t="s">
        <v>103</v>
      </c>
      <c r="K78" s="61">
        <v>6.7</v>
      </c>
      <c r="L78" s="49"/>
    </row>
    <row r="79" spans="1:12" x14ac:dyDescent="0.25">
      <c r="A79" s="49"/>
      <c r="B79" s="50">
        <v>79</v>
      </c>
      <c r="C79" s="56" t="s">
        <v>97</v>
      </c>
      <c r="D79" s="56">
        <f>D78/D77</f>
        <v>2.9105263157894741</v>
      </c>
      <c r="E79" s="50"/>
      <c r="F79" s="50"/>
      <c r="G79" s="50"/>
      <c r="H79" s="50"/>
      <c r="I79" s="50"/>
      <c r="J79" s="61" t="s">
        <v>104</v>
      </c>
      <c r="K79" s="61">
        <v>5.9</v>
      </c>
      <c r="L79" s="49"/>
    </row>
    <row r="80" spans="1:12" x14ac:dyDescent="0.25">
      <c r="A80" s="49"/>
      <c r="B80" s="50">
        <v>80</v>
      </c>
      <c r="C80" s="50"/>
      <c r="D80" s="50"/>
      <c r="E80" s="50"/>
      <c r="F80" s="50"/>
      <c r="G80" s="50"/>
      <c r="H80" s="50"/>
      <c r="I80" s="50"/>
      <c r="J80" s="61" t="s">
        <v>105</v>
      </c>
      <c r="K80" s="61">
        <v>5</v>
      </c>
      <c r="L80" s="49"/>
    </row>
    <row r="81" spans="1:12" x14ac:dyDescent="0.25">
      <c r="A81" s="49"/>
      <c r="B81" s="50">
        <v>81</v>
      </c>
      <c r="C81" s="50" t="s">
        <v>192</v>
      </c>
      <c r="D81" s="50"/>
      <c r="E81" s="50"/>
      <c r="F81" s="50"/>
      <c r="G81" s="50"/>
      <c r="H81" s="50"/>
      <c r="I81" s="50"/>
      <c r="J81" s="61" t="s">
        <v>106</v>
      </c>
      <c r="K81" s="61">
        <v>4.8</v>
      </c>
      <c r="L81" s="49"/>
    </row>
    <row r="82" spans="1:12" x14ac:dyDescent="0.25">
      <c r="A82" s="49"/>
      <c r="B82" s="50">
        <v>82</v>
      </c>
      <c r="C82" s="56" t="s">
        <v>98</v>
      </c>
      <c r="D82" s="56">
        <v>5</v>
      </c>
      <c r="E82" s="50"/>
      <c r="F82" s="50"/>
      <c r="G82" s="50"/>
      <c r="H82" s="50"/>
      <c r="I82" s="50"/>
      <c r="J82" s="61" t="s">
        <v>107</v>
      </c>
      <c r="K82" s="61">
        <v>4.8</v>
      </c>
      <c r="L82" s="49"/>
    </row>
    <row r="83" spans="1:12" x14ac:dyDescent="0.25">
      <c r="A83" s="49"/>
      <c r="B83" s="50">
        <v>83</v>
      </c>
      <c r="C83" s="50"/>
      <c r="D83" s="50"/>
      <c r="E83" s="50"/>
      <c r="F83" s="50"/>
      <c r="G83" s="50"/>
      <c r="H83" s="50"/>
      <c r="I83" s="50"/>
      <c r="J83" s="61" t="s">
        <v>108</v>
      </c>
      <c r="K83" s="61">
        <v>5.2</v>
      </c>
      <c r="L83" s="49"/>
    </row>
    <row r="84" spans="1:12" x14ac:dyDescent="0.25">
      <c r="A84" s="49"/>
      <c r="B84" s="50">
        <v>84</v>
      </c>
      <c r="C84" s="50" t="s">
        <v>198</v>
      </c>
      <c r="D84" s="50"/>
      <c r="E84" s="50"/>
      <c r="F84" s="50"/>
      <c r="G84" s="50"/>
      <c r="H84" s="50"/>
      <c r="I84" s="50"/>
      <c r="J84" s="61" t="s">
        <v>109</v>
      </c>
      <c r="K84" s="61">
        <v>5.5</v>
      </c>
      <c r="L84" s="49"/>
    </row>
    <row r="85" spans="1:12" x14ac:dyDescent="0.25">
      <c r="A85" s="49"/>
      <c r="B85" s="50">
        <v>85</v>
      </c>
      <c r="C85" s="56" t="s">
        <v>194</v>
      </c>
      <c r="D85" s="56" t="s">
        <v>196</v>
      </c>
      <c r="E85" s="56" t="s">
        <v>195</v>
      </c>
      <c r="F85" s="50"/>
      <c r="G85" s="50"/>
      <c r="H85" s="50"/>
      <c r="I85" s="50"/>
      <c r="J85" s="61" t="s">
        <v>110</v>
      </c>
      <c r="K85" s="61">
        <v>6.2</v>
      </c>
      <c r="L85" s="49"/>
    </row>
    <row r="86" spans="1:12" x14ac:dyDescent="0.25">
      <c r="A86" s="49"/>
      <c r="B86" s="50">
        <v>86</v>
      </c>
      <c r="C86" s="56" t="s">
        <v>193</v>
      </c>
      <c r="D86" s="57">
        <v>0</v>
      </c>
      <c r="E86" s="57">
        <v>0</v>
      </c>
      <c r="F86" s="50"/>
      <c r="G86" s="50"/>
      <c r="H86" s="50"/>
      <c r="I86" s="50"/>
      <c r="J86" s="61" t="s">
        <v>111</v>
      </c>
      <c r="K86" s="61">
        <v>10.4</v>
      </c>
      <c r="L86" s="49"/>
    </row>
    <row r="87" spans="1:12" x14ac:dyDescent="0.25">
      <c r="A87" s="49"/>
      <c r="B87" s="50">
        <v>87</v>
      </c>
      <c r="C87" s="56" t="s">
        <v>197</v>
      </c>
      <c r="D87" s="57">
        <v>8</v>
      </c>
      <c r="E87" s="57">
        <v>25</v>
      </c>
      <c r="F87" s="50"/>
      <c r="G87" s="50"/>
      <c r="H87" s="50"/>
      <c r="I87" s="50"/>
      <c r="J87" s="61" t="s">
        <v>112</v>
      </c>
      <c r="K87" s="61">
        <v>5</v>
      </c>
      <c r="L87" s="49"/>
    </row>
    <row r="88" spans="1:12" x14ac:dyDescent="0.25">
      <c r="A88" s="49"/>
      <c r="B88" s="50">
        <v>88</v>
      </c>
      <c r="C88" s="50"/>
      <c r="D88" s="50"/>
      <c r="E88" s="50"/>
      <c r="F88" s="50"/>
      <c r="G88" s="50"/>
      <c r="H88" s="50"/>
      <c r="I88" s="50"/>
      <c r="J88" s="61" t="s">
        <v>113</v>
      </c>
      <c r="K88" s="61">
        <v>4.8</v>
      </c>
      <c r="L88" s="49"/>
    </row>
    <row r="89" spans="1:12" x14ac:dyDescent="0.25">
      <c r="A89" s="49"/>
      <c r="B89" s="50">
        <v>89</v>
      </c>
      <c r="C89" s="65" t="s">
        <v>366</v>
      </c>
      <c r="G89" s="50"/>
      <c r="H89" s="50"/>
      <c r="I89" s="50"/>
      <c r="J89" s="61" t="s">
        <v>114</v>
      </c>
      <c r="K89" s="61">
        <v>4.8</v>
      </c>
      <c r="L89" s="49"/>
    </row>
    <row r="90" spans="1:12" x14ac:dyDescent="0.25">
      <c r="A90" s="49"/>
      <c r="B90" s="50">
        <v>90</v>
      </c>
      <c r="C90" s="56" t="s">
        <v>367</v>
      </c>
      <c r="D90" s="69">
        <v>1.3</v>
      </c>
      <c r="H90" s="50"/>
      <c r="I90" s="50"/>
      <c r="J90" s="61" t="s">
        <v>115</v>
      </c>
      <c r="K90" s="61">
        <v>5.2</v>
      </c>
      <c r="L90" s="49"/>
    </row>
    <row r="91" spans="1:12" x14ac:dyDescent="0.25">
      <c r="A91" s="49"/>
      <c r="B91" s="50">
        <v>91</v>
      </c>
      <c r="H91" s="50"/>
      <c r="I91" s="50"/>
      <c r="J91" s="61" t="s">
        <v>116</v>
      </c>
      <c r="K91" s="61">
        <v>4.8</v>
      </c>
      <c r="L91" s="49"/>
    </row>
    <row r="92" spans="1:12" x14ac:dyDescent="0.25">
      <c r="A92" s="49"/>
      <c r="B92" s="50">
        <v>92</v>
      </c>
      <c r="C92" s="50" t="s">
        <v>221</v>
      </c>
      <c r="D92" s="50"/>
      <c r="E92" s="50"/>
      <c r="F92" s="50"/>
      <c r="G92" s="50"/>
      <c r="H92" s="50"/>
      <c r="I92" s="50"/>
      <c r="J92" s="61" t="s">
        <v>117</v>
      </c>
      <c r="K92" s="61">
        <v>4.3</v>
      </c>
      <c r="L92" s="49"/>
    </row>
    <row r="93" spans="1:12" x14ac:dyDescent="0.25">
      <c r="A93" s="49"/>
      <c r="B93" s="50">
        <v>93</v>
      </c>
      <c r="C93" s="63" t="s">
        <v>201</v>
      </c>
      <c r="D93" s="56">
        <v>0.75</v>
      </c>
      <c r="E93" s="50" t="s">
        <v>202</v>
      </c>
      <c r="F93" s="50"/>
      <c r="G93" s="50"/>
      <c r="H93" s="50"/>
      <c r="I93" s="50"/>
      <c r="J93" s="61" t="s">
        <v>118</v>
      </c>
      <c r="K93" s="61">
        <v>5.2</v>
      </c>
      <c r="L93" s="49"/>
    </row>
    <row r="94" spans="1:12" x14ac:dyDescent="0.25">
      <c r="A94" s="49"/>
      <c r="B94" s="50">
        <v>94</v>
      </c>
      <c r="C94" s="50"/>
      <c r="D94" s="56">
        <v>0.87</v>
      </c>
      <c r="E94" s="50" t="s">
        <v>204</v>
      </c>
      <c r="F94" s="50"/>
      <c r="G94" s="50"/>
      <c r="H94" s="50"/>
      <c r="I94" s="50"/>
      <c r="J94" s="61" t="s">
        <v>119</v>
      </c>
      <c r="K94" s="61">
        <v>11.1</v>
      </c>
      <c r="L94" s="49"/>
    </row>
    <row r="95" spans="1:12" x14ac:dyDescent="0.25">
      <c r="A95" s="49"/>
      <c r="B95" s="50">
        <v>95</v>
      </c>
      <c r="C95" s="50"/>
      <c r="D95" s="56">
        <v>1</v>
      </c>
      <c r="E95" s="50" t="s">
        <v>203</v>
      </c>
      <c r="F95" s="50"/>
      <c r="G95" s="50"/>
      <c r="H95" s="50"/>
      <c r="I95" s="50"/>
      <c r="J95" s="61" t="s">
        <v>120</v>
      </c>
      <c r="K95" s="61">
        <v>10.3</v>
      </c>
      <c r="L95" s="49"/>
    </row>
    <row r="96" spans="1:12" x14ac:dyDescent="0.25">
      <c r="A96" s="49"/>
      <c r="B96" s="50">
        <v>96</v>
      </c>
      <c r="C96" s="50"/>
      <c r="D96" s="50"/>
      <c r="E96" s="50"/>
      <c r="F96" s="50"/>
      <c r="G96" s="50"/>
      <c r="H96" s="50"/>
      <c r="I96" s="50"/>
      <c r="J96" s="61" t="s">
        <v>121</v>
      </c>
      <c r="K96" s="61">
        <v>5</v>
      </c>
      <c r="L96" s="49"/>
    </row>
    <row r="97" spans="1:12" x14ac:dyDescent="0.25">
      <c r="A97" s="49"/>
      <c r="B97" s="50">
        <v>97</v>
      </c>
      <c r="C97" s="50" t="s">
        <v>348</v>
      </c>
      <c r="D97" s="50"/>
      <c r="E97" s="50"/>
      <c r="F97" s="50"/>
      <c r="G97" s="50"/>
      <c r="H97" s="50"/>
      <c r="I97" s="50"/>
      <c r="J97" s="61" t="s">
        <v>122</v>
      </c>
      <c r="K97" s="61">
        <v>10.3</v>
      </c>
      <c r="L97" s="49"/>
    </row>
    <row r="98" spans="1:12" x14ac:dyDescent="0.25">
      <c r="A98" s="49"/>
      <c r="B98" s="50">
        <v>98</v>
      </c>
      <c r="C98" s="63" t="s">
        <v>349</v>
      </c>
      <c r="D98" s="56">
        <v>40</v>
      </c>
      <c r="E98" s="64" t="s">
        <v>205</v>
      </c>
      <c r="F98" s="65"/>
      <c r="G98" s="65"/>
      <c r="H98" s="50"/>
      <c r="I98" s="50"/>
      <c r="J98" s="61" t="s">
        <v>123</v>
      </c>
      <c r="K98" s="61">
        <v>4</v>
      </c>
      <c r="L98" s="49"/>
    </row>
    <row r="99" spans="1:12" x14ac:dyDescent="0.25">
      <c r="A99" s="49"/>
      <c r="B99" s="50">
        <v>99</v>
      </c>
      <c r="C99" s="50"/>
      <c r="D99" s="56">
        <v>50</v>
      </c>
      <c r="E99" s="64" t="s">
        <v>206</v>
      </c>
      <c r="F99" s="65"/>
      <c r="G99" s="65"/>
      <c r="H99" s="50"/>
      <c r="I99" s="50"/>
      <c r="J99" s="61" t="s">
        <v>124</v>
      </c>
      <c r="K99" s="61">
        <v>4.5</v>
      </c>
      <c r="L99" s="49"/>
    </row>
    <row r="100" spans="1:12" x14ac:dyDescent="0.25">
      <c r="A100" s="49"/>
      <c r="B100" s="50">
        <v>100</v>
      </c>
      <c r="C100" s="50"/>
      <c r="D100" s="50"/>
      <c r="E100" s="50"/>
      <c r="F100" s="65"/>
      <c r="G100" s="50"/>
      <c r="H100" s="50"/>
      <c r="I100" s="50"/>
      <c r="J100" s="61" t="s">
        <v>125</v>
      </c>
      <c r="K100" s="61">
        <v>5.0999999999999996</v>
      </c>
      <c r="L100" s="49"/>
    </row>
    <row r="101" spans="1:12" x14ac:dyDescent="0.25">
      <c r="A101" s="49"/>
      <c r="B101" s="50">
        <v>101</v>
      </c>
      <c r="C101" s="50" t="s">
        <v>225</v>
      </c>
      <c r="D101" s="50"/>
      <c r="E101" s="50"/>
      <c r="F101" s="50"/>
      <c r="G101" s="50"/>
      <c r="H101" s="50"/>
      <c r="I101" s="50"/>
      <c r="J101" s="61" t="s">
        <v>126</v>
      </c>
      <c r="K101" s="61">
        <v>4.9000000000000004</v>
      </c>
      <c r="L101" s="49"/>
    </row>
    <row r="102" spans="1:12" x14ac:dyDescent="0.25">
      <c r="A102" s="49"/>
      <c r="B102" s="50">
        <v>102</v>
      </c>
      <c r="C102" s="56" t="s">
        <v>226</v>
      </c>
      <c r="D102" s="56">
        <v>1.25</v>
      </c>
      <c r="E102" s="50"/>
      <c r="F102" s="50"/>
      <c r="G102" s="50"/>
      <c r="H102" s="50"/>
      <c r="I102" s="50"/>
      <c r="J102" s="61" t="s">
        <v>127</v>
      </c>
      <c r="K102" s="61">
        <v>5.4</v>
      </c>
      <c r="L102" s="49"/>
    </row>
    <row r="103" spans="1:12" x14ac:dyDescent="0.25">
      <c r="A103" s="49"/>
      <c r="B103" s="50">
        <v>103</v>
      </c>
      <c r="C103" s="56" t="s">
        <v>227</v>
      </c>
      <c r="D103" s="56">
        <v>24</v>
      </c>
      <c r="E103" s="50"/>
      <c r="F103" s="50"/>
      <c r="G103" s="50"/>
      <c r="H103" s="50"/>
      <c r="I103" s="50"/>
      <c r="J103" s="61" t="s">
        <v>128</v>
      </c>
      <c r="K103" s="61">
        <v>10.1</v>
      </c>
      <c r="L103" s="49"/>
    </row>
    <row r="104" spans="1:12" x14ac:dyDescent="0.25">
      <c r="A104" s="49"/>
      <c r="B104" s="50">
        <v>104</v>
      </c>
      <c r="C104" s="56" t="s">
        <v>228</v>
      </c>
      <c r="D104" s="56">
        <v>3</v>
      </c>
      <c r="E104" s="50"/>
      <c r="F104" s="50"/>
      <c r="G104" s="50"/>
      <c r="H104" s="50"/>
      <c r="I104" s="50"/>
      <c r="J104" s="61" t="s">
        <v>129</v>
      </c>
      <c r="K104" s="61">
        <v>5.3</v>
      </c>
      <c r="L104" s="49"/>
    </row>
    <row r="105" spans="1:12" x14ac:dyDescent="0.25">
      <c r="A105" s="49"/>
      <c r="B105" s="50">
        <v>105</v>
      </c>
      <c r="C105" s="50"/>
      <c r="D105" s="50"/>
      <c r="E105" s="50"/>
      <c r="F105" s="50"/>
      <c r="G105" s="50"/>
      <c r="H105" s="50"/>
      <c r="I105" s="50"/>
      <c r="J105" s="61" t="s">
        <v>130</v>
      </c>
      <c r="K105" s="61">
        <v>5.2</v>
      </c>
      <c r="L105" s="49"/>
    </row>
    <row r="106" spans="1:12" x14ac:dyDescent="0.25">
      <c r="A106" s="49"/>
      <c r="B106" s="50">
        <v>106</v>
      </c>
      <c r="C106" s="50"/>
      <c r="D106" s="50"/>
      <c r="E106" s="50"/>
      <c r="F106" s="50"/>
      <c r="G106" s="50"/>
      <c r="H106" s="50"/>
      <c r="I106" s="50"/>
      <c r="J106" s="61" t="s">
        <v>131</v>
      </c>
      <c r="K106" s="61">
        <v>2.5</v>
      </c>
      <c r="L106" s="49"/>
    </row>
    <row r="107" spans="1:12" x14ac:dyDescent="0.25">
      <c r="A107" s="49"/>
      <c r="B107" s="50">
        <v>107</v>
      </c>
      <c r="C107" s="50" t="s">
        <v>209</v>
      </c>
      <c r="D107" s="50"/>
      <c r="E107" s="50"/>
      <c r="F107" s="50"/>
      <c r="G107" s="50"/>
      <c r="H107" s="50"/>
      <c r="I107" s="50"/>
      <c r="J107" s="61" t="s">
        <v>132</v>
      </c>
      <c r="K107" s="61">
        <v>2.9</v>
      </c>
      <c r="L107" s="49"/>
    </row>
    <row r="108" spans="1:12" x14ac:dyDescent="0.25">
      <c r="A108" s="49"/>
      <c r="B108" s="50">
        <v>108</v>
      </c>
      <c r="C108" s="56" t="s">
        <v>207</v>
      </c>
      <c r="D108" s="56">
        <v>2000</v>
      </c>
      <c r="E108" s="50"/>
      <c r="F108" s="50"/>
      <c r="G108" s="50"/>
      <c r="H108" s="50"/>
      <c r="I108" s="50"/>
      <c r="J108" s="61" t="s">
        <v>133</v>
      </c>
      <c r="K108" s="61">
        <v>2.8</v>
      </c>
      <c r="L108" s="49"/>
    </row>
    <row r="109" spans="1:12" x14ac:dyDescent="0.25">
      <c r="A109" s="49"/>
      <c r="B109" s="50">
        <v>109</v>
      </c>
      <c r="C109" s="56" t="s">
        <v>208</v>
      </c>
      <c r="D109" s="56">
        <v>4000</v>
      </c>
      <c r="E109" s="50"/>
      <c r="F109" s="50"/>
      <c r="G109" s="50"/>
      <c r="H109" s="50"/>
      <c r="I109" s="50"/>
      <c r="J109" s="61" t="s">
        <v>134</v>
      </c>
      <c r="K109" s="61">
        <v>2.6</v>
      </c>
      <c r="L109" s="49"/>
    </row>
    <row r="110" spans="1:12" x14ac:dyDescent="0.25">
      <c r="A110" s="49"/>
      <c r="B110" s="50">
        <v>110</v>
      </c>
      <c r="C110" s="104" t="s">
        <v>382</v>
      </c>
      <c r="D110" s="100" t="b">
        <f>SUM('2. СФ-МАШ-4 №1'!D19:D22)=0</f>
        <v>1</v>
      </c>
      <c r="E110" s="50"/>
      <c r="F110" s="50"/>
      <c r="G110" s="50"/>
      <c r="H110" s="50"/>
      <c r="I110" s="50"/>
      <c r="J110" s="61" t="s">
        <v>135</v>
      </c>
      <c r="K110" s="61">
        <v>2.6</v>
      </c>
      <c r="L110" s="49"/>
    </row>
    <row r="111" spans="1:12" x14ac:dyDescent="0.25">
      <c r="A111" s="49"/>
      <c r="B111" s="50">
        <v>111</v>
      </c>
      <c r="C111" s="105" t="s">
        <v>383</v>
      </c>
      <c r="D111" s="101" t="b">
        <f>SUM('3. СФ-МАШ-4 №2'!D19:D22)=0</f>
        <v>1</v>
      </c>
      <c r="H111" s="50"/>
      <c r="I111" s="50"/>
      <c r="J111" s="61" t="s">
        <v>136</v>
      </c>
      <c r="K111" s="61">
        <v>2.5</v>
      </c>
      <c r="L111" s="49"/>
    </row>
    <row r="112" spans="1:12" x14ac:dyDescent="0.25">
      <c r="A112" s="49"/>
      <c r="B112" s="50">
        <v>112</v>
      </c>
      <c r="C112" s="106" t="s">
        <v>384</v>
      </c>
      <c r="D112" s="102" t="b">
        <f>SUM('4. СФ-МАШ-4 №3'!D19:D22)=0</f>
        <v>1</v>
      </c>
      <c r="H112" s="50"/>
      <c r="I112" s="50"/>
      <c r="J112" s="61" t="s">
        <v>137</v>
      </c>
      <c r="K112" s="61">
        <v>2.5</v>
      </c>
      <c r="L112" s="49"/>
    </row>
    <row r="113" spans="1:12" x14ac:dyDescent="0.25">
      <c r="A113" s="49"/>
      <c r="B113" s="50">
        <v>113</v>
      </c>
      <c r="C113" s="107" t="s">
        <v>385</v>
      </c>
      <c r="D113" s="103" t="b">
        <f>SUM('5. СФ-МАШ-4 №4'!D19:D22)=0</f>
        <v>1</v>
      </c>
      <c r="H113" s="50"/>
      <c r="I113" s="50"/>
      <c r="J113" s="61" t="s">
        <v>138</v>
      </c>
      <c r="K113" s="61">
        <v>2.2999999999999998</v>
      </c>
      <c r="L113" s="49"/>
    </row>
    <row r="114" spans="1:12" x14ac:dyDescent="0.25">
      <c r="A114" s="49"/>
      <c r="B114" s="50">
        <v>114</v>
      </c>
      <c r="C114" s="56" t="s">
        <v>215</v>
      </c>
      <c r="D114" s="56">
        <v>1.7999999999999999E-2</v>
      </c>
      <c r="E114" s="50"/>
      <c r="F114" s="50"/>
      <c r="G114" s="50"/>
      <c r="H114" s="50"/>
      <c r="I114" s="50"/>
      <c r="J114" s="61" t="s">
        <v>139</v>
      </c>
      <c r="K114" s="61">
        <v>2.2000000000000002</v>
      </c>
      <c r="L114" s="49"/>
    </row>
    <row r="115" spans="1:12" x14ac:dyDescent="0.25">
      <c r="A115" s="49"/>
      <c r="B115" s="50">
        <v>115</v>
      </c>
      <c r="C115" s="56" t="s">
        <v>216</v>
      </c>
      <c r="D115" s="56">
        <v>2000</v>
      </c>
      <c r="E115" s="50"/>
      <c r="F115" s="50"/>
      <c r="G115" s="50"/>
      <c r="H115" s="50"/>
      <c r="I115" s="50"/>
      <c r="J115" s="61" t="s">
        <v>140</v>
      </c>
      <c r="K115" s="61">
        <v>2.7</v>
      </c>
      <c r="L115" s="49"/>
    </row>
    <row r="116" spans="1:12" x14ac:dyDescent="0.25">
      <c r="A116" s="49"/>
      <c r="B116" s="50">
        <v>116</v>
      </c>
      <c r="C116" s="56" t="s">
        <v>220</v>
      </c>
      <c r="D116" s="56">
        <v>0</v>
      </c>
      <c r="E116" s="50"/>
      <c r="F116" s="50"/>
      <c r="G116" s="50"/>
      <c r="H116" s="50"/>
      <c r="I116" s="50"/>
      <c r="J116" s="61" t="s">
        <v>141</v>
      </c>
      <c r="K116" s="61">
        <v>2.5</v>
      </c>
      <c r="L116" s="49"/>
    </row>
    <row r="117" spans="1:12" x14ac:dyDescent="0.25">
      <c r="A117" s="49"/>
      <c r="B117" s="50">
        <v>117</v>
      </c>
      <c r="C117" s="104" t="s">
        <v>182</v>
      </c>
      <c r="D117" s="100">
        <f>D127*'2. СФ-МАШ-4 №1'!D63/MAX('2. СФ-МАШ-4 №1'!D68,1)-'2. СФ-МАШ-4 №1'!D101</f>
        <v>11136</v>
      </c>
      <c r="E117" s="50"/>
      <c r="F117" s="50"/>
      <c r="G117" s="50"/>
      <c r="H117" s="50"/>
      <c r="I117" s="50"/>
      <c r="J117" s="61" t="s">
        <v>142</v>
      </c>
      <c r="K117" s="61">
        <v>2.6</v>
      </c>
      <c r="L117" s="49"/>
    </row>
    <row r="118" spans="1:12" x14ac:dyDescent="0.25">
      <c r="A118" s="49"/>
      <c r="B118" s="50">
        <v>118</v>
      </c>
      <c r="C118" s="105" t="s">
        <v>182</v>
      </c>
      <c r="D118" s="101">
        <f>D127*'3. СФ-МАШ-4 №2'!D63/MAX('3. СФ-МАШ-4 №2'!D68,1)-'3. СФ-МАШ-4 №2'!D101</f>
        <v>11136</v>
      </c>
      <c r="H118" s="50"/>
      <c r="I118" s="50"/>
      <c r="J118" s="61" t="s">
        <v>143</v>
      </c>
      <c r="K118" s="61">
        <v>3.6</v>
      </c>
      <c r="L118" s="49"/>
    </row>
    <row r="119" spans="1:12" x14ac:dyDescent="0.25">
      <c r="A119" s="49"/>
      <c r="B119" s="50">
        <v>119</v>
      </c>
      <c r="C119" s="106" t="s">
        <v>182</v>
      </c>
      <c r="D119" s="102">
        <f>D127*'4. СФ-МАШ-4 №3'!D63/MAX('4. СФ-МАШ-4 №3'!D68,1)-'4. СФ-МАШ-4 №3'!D100</f>
        <v>11136</v>
      </c>
      <c r="H119" s="50"/>
      <c r="I119" s="50"/>
      <c r="J119" s="61" t="s">
        <v>144</v>
      </c>
      <c r="K119" s="61">
        <v>2.4</v>
      </c>
      <c r="L119" s="49"/>
    </row>
    <row r="120" spans="1:12" x14ac:dyDescent="0.25">
      <c r="A120" s="49"/>
      <c r="B120" s="50">
        <v>120</v>
      </c>
      <c r="C120" s="107" t="s">
        <v>182</v>
      </c>
      <c r="D120" s="103">
        <f>D127*'5. СФ-МАШ-4 №4'!D63/MAX('5. СФ-МАШ-4 №4'!D68,1)-'5. СФ-МАШ-4 №4'!D101</f>
        <v>11136</v>
      </c>
      <c r="H120" s="50"/>
      <c r="I120" s="50"/>
      <c r="J120" s="61" t="s">
        <v>145</v>
      </c>
      <c r="K120" s="61">
        <v>2.2999999999999998</v>
      </c>
      <c r="L120" s="49"/>
    </row>
    <row r="121" spans="1:12" x14ac:dyDescent="0.25">
      <c r="A121" s="49"/>
      <c r="B121" s="50">
        <v>121</v>
      </c>
      <c r="C121" s="104" t="s">
        <v>183</v>
      </c>
      <c r="D121" s="100">
        <f>('2. СФ-МАШ-4 №1'!D69-'2. СФ-МАШ-4 №1'!D68)/('2. СФ-МАШ-4 №1'!D69/100)</f>
        <v>99.999999999999986</v>
      </c>
      <c r="E121" s="50" t="s">
        <v>231</v>
      </c>
      <c r="F121" s="50"/>
      <c r="G121" s="50"/>
      <c r="H121" s="50"/>
      <c r="I121" s="50"/>
      <c r="J121" s="61" t="s">
        <v>146</v>
      </c>
      <c r="K121" s="61">
        <v>2.2999999999999998</v>
      </c>
      <c r="L121" s="49"/>
    </row>
    <row r="122" spans="1:12" x14ac:dyDescent="0.25">
      <c r="A122" s="49"/>
      <c r="B122" s="50">
        <v>122</v>
      </c>
      <c r="C122" s="105" t="s">
        <v>183</v>
      </c>
      <c r="D122" s="101">
        <f>('3. СФ-МАШ-4 №2'!D69-'3. СФ-МАШ-4 №2'!D68)/('3. СФ-МАШ-4 №2'!D69/100)</f>
        <v>99.999999999999986</v>
      </c>
      <c r="E122" s="50"/>
      <c r="F122" s="50"/>
      <c r="G122" s="50"/>
      <c r="H122" s="50"/>
      <c r="I122" s="50"/>
      <c r="J122" s="61" t="s">
        <v>147</v>
      </c>
      <c r="K122" s="61">
        <v>2.7</v>
      </c>
      <c r="L122" s="49"/>
    </row>
    <row r="123" spans="1:12" x14ac:dyDescent="0.25">
      <c r="A123" s="49"/>
      <c r="B123" s="50">
        <v>123</v>
      </c>
      <c r="C123" s="106" t="s">
        <v>183</v>
      </c>
      <c r="D123" s="116">
        <f>('4. СФ-МАШ-4 №3'!D69-'4. СФ-МАШ-4 №3'!D68)/('4. СФ-МАШ-4 №3'!D69/100)</f>
        <v>99.999999999999986</v>
      </c>
      <c r="H123" s="50"/>
      <c r="I123" s="50"/>
      <c r="J123" s="61" t="s">
        <v>148</v>
      </c>
      <c r="K123" s="61">
        <v>2.2999999999999998</v>
      </c>
      <c r="L123" s="49"/>
    </row>
    <row r="124" spans="1:12" x14ac:dyDescent="0.25">
      <c r="A124" s="49"/>
      <c r="B124" s="50">
        <v>124</v>
      </c>
      <c r="C124" s="107" t="s">
        <v>183</v>
      </c>
      <c r="D124" s="103">
        <f>('5. СФ-МАШ-4 №4'!D69-'5. СФ-МАШ-4 №4'!D68)/('5. СФ-МАШ-4 №4'!D69/100)</f>
        <v>99.999999999999986</v>
      </c>
      <c r="H124" s="50"/>
      <c r="I124" s="50"/>
      <c r="J124" s="61" t="s">
        <v>149</v>
      </c>
      <c r="K124" s="61">
        <v>2.1</v>
      </c>
      <c r="L124" s="49"/>
    </row>
    <row r="125" spans="1:12" x14ac:dyDescent="0.25">
      <c r="A125" s="49"/>
      <c r="B125" s="50">
        <v>125</v>
      </c>
      <c r="H125" s="50"/>
      <c r="I125" s="50"/>
      <c r="J125" s="61" t="s">
        <v>150</v>
      </c>
      <c r="K125" s="61">
        <v>2.9</v>
      </c>
      <c r="L125" s="49"/>
    </row>
    <row r="126" spans="1:12" x14ac:dyDescent="0.25">
      <c r="A126" s="49"/>
      <c r="B126" s="50">
        <v>126</v>
      </c>
      <c r="C126" s="50" t="s">
        <v>217</v>
      </c>
      <c r="D126" s="50"/>
      <c r="E126" s="50"/>
      <c r="F126" s="50"/>
      <c r="G126" s="50"/>
      <c r="H126" s="50"/>
      <c r="I126" s="50"/>
      <c r="J126" s="61" t="s">
        <v>151</v>
      </c>
      <c r="K126" s="61">
        <v>3.1</v>
      </c>
      <c r="L126" s="49"/>
    </row>
    <row r="127" spans="1:12" x14ac:dyDescent="0.25">
      <c r="A127" s="49"/>
      <c r="B127" s="50">
        <v>127</v>
      </c>
      <c r="C127" s="56" t="s">
        <v>218</v>
      </c>
      <c r="D127" s="56">
        <f>IF(OR(D73=D133,'2. СФ-МАШ-4 №1'!D31&gt;0,'2. СФ-МАШ-4 №1'!D30&gt;0),E133,E132)</f>
        <v>12800</v>
      </c>
      <c r="E127" s="50"/>
      <c r="F127" s="50"/>
      <c r="G127" s="50"/>
      <c r="H127" s="50"/>
      <c r="I127" s="50"/>
      <c r="J127" s="61" t="s">
        <v>152</v>
      </c>
      <c r="K127" s="61">
        <v>3.5</v>
      </c>
      <c r="L127" s="49"/>
    </row>
    <row r="128" spans="1:12" x14ac:dyDescent="0.25">
      <c r="A128" s="49"/>
      <c r="B128" s="50">
        <v>128</v>
      </c>
      <c r="C128" s="56" t="s">
        <v>219</v>
      </c>
      <c r="D128" s="56">
        <v>15</v>
      </c>
      <c r="E128" s="50"/>
      <c r="F128" s="50"/>
      <c r="G128" s="50"/>
      <c r="H128" s="50"/>
      <c r="I128" s="50"/>
      <c r="J128" s="61" t="s">
        <v>153</v>
      </c>
      <c r="K128" s="61">
        <v>2.6</v>
      </c>
      <c r="L128" s="49"/>
    </row>
    <row r="129" spans="1:12" x14ac:dyDescent="0.25">
      <c r="A129" s="49"/>
      <c r="B129" s="50">
        <v>129</v>
      </c>
      <c r="C129" s="50"/>
      <c r="D129" s="50"/>
      <c r="E129" s="50"/>
      <c r="F129" s="50"/>
      <c r="G129" s="50"/>
      <c r="H129" s="50"/>
      <c r="I129" s="50"/>
      <c r="J129" s="61" t="s">
        <v>154</v>
      </c>
      <c r="K129" s="61">
        <v>3.5</v>
      </c>
      <c r="L129" s="49"/>
    </row>
    <row r="130" spans="1:12" x14ac:dyDescent="0.25">
      <c r="A130" s="49"/>
      <c r="B130" s="50">
        <v>130</v>
      </c>
      <c r="C130" s="50"/>
      <c r="D130" s="50"/>
      <c r="E130" s="50"/>
      <c r="F130" s="50"/>
      <c r="G130" s="50"/>
      <c r="H130" s="50"/>
      <c r="I130" s="50"/>
      <c r="J130" s="61" t="s">
        <v>155</v>
      </c>
      <c r="K130" s="61">
        <v>2.2999999999999998</v>
      </c>
      <c r="L130" s="49"/>
    </row>
    <row r="131" spans="1:12" x14ac:dyDescent="0.25">
      <c r="A131" s="49"/>
      <c r="B131" s="50">
        <v>131</v>
      </c>
      <c r="C131" s="50" t="s">
        <v>344</v>
      </c>
      <c r="D131" s="50"/>
      <c r="E131" s="50"/>
      <c r="F131" s="50"/>
      <c r="G131" s="50"/>
      <c r="H131" s="50"/>
      <c r="I131" s="50"/>
      <c r="J131" s="61" t="s">
        <v>156</v>
      </c>
      <c r="K131" s="61">
        <v>2.5</v>
      </c>
      <c r="L131" s="49"/>
    </row>
    <row r="132" spans="1:12" x14ac:dyDescent="0.25">
      <c r="A132" s="49"/>
      <c r="B132" s="50">
        <v>132</v>
      </c>
      <c r="C132" s="63" t="s">
        <v>222</v>
      </c>
      <c r="D132" s="56" t="s">
        <v>188</v>
      </c>
      <c r="E132" s="56">
        <v>15200</v>
      </c>
      <c r="F132" s="50"/>
      <c r="G132" s="50"/>
      <c r="H132" s="50"/>
      <c r="I132" s="50"/>
      <c r="J132" s="61" t="s">
        <v>157</v>
      </c>
      <c r="K132" s="61">
        <v>2.8</v>
      </c>
      <c r="L132" s="49"/>
    </row>
    <row r="133" spans="1:12" x14ac:dyDescent="0.25">
      <c r="A133" s="49"/>
      <c r="B133" s="50">
        <v>133</v>
      </c>
      <c r="C133" s="50"/>
      <c r="D133" s="56" t="s">
        <v>189</v>
      </c>
      <c r="E133" s="56">
        <v>12800</v>
      </c>
      <c r="F133" s="50"/>
      <c r="G133" s="50"/>
      <c r="H133" s="50"/>
      <c r="I133" s="50"/>
      <c r="J133" s="61" t="s">
        <v>158</v>
      </c>
      <c r="K133" s="61">
        <v>2.6</v>
      </c>
      <c r="L133" s="49"/>
    </row>
    <row r="134" spans="1:12" x14ac:dyDescent="0.25">
      <c r="A134" s="49"/>
      <c r="B134" s="50">
        <v>134</v>
      </c>
      <c r="C134" s="63" t="s">
        <v>223</v>
      </c>
      <c r="D134" s="56" t="s">
        <v>188</v>
      </c>
      <c r="E134" s="50"/>
      <c r="F134" s="50"/>
      <c r="G134" s="50"/>
      <c r="H134" s="50"/>
      <c r="I134" s="50"/>
      <c r="J134" s="61" t="s">
        <v>159</v>
      </c>
      <c r="K134" s="61">
        <v>2.5</v>
      </c>
      <c r="L134" s="49"/>
    </row>
    <row r="135" spans="1:12" x14ac:dyDescent="0.25">
      <c r="A135" s="49"/>
      <c r="B135" s="50">
        <v>135</v>
      </c>
      <c r="C135" s="50"/>
      <c r="D135" s="56" t="s">
        <v>224</v>
      </c>
      <c r="E135" s="50"/>
      <c r="F135" s="50"/>
      <c r="G135" s="50"/>
      <c r="H135" s="50"/>
      <c r="I135" s="50"/>
      <c r="J135" s="61" t="s">
        <v>160</v>
      </c>
      <c r="K135" s="61">
        <v>3.4</v>
      </c>
      <c r="L135" s="49"/>
    </row>
    <row r="136" spans="1:12" x14ac:dyDescent="0.25">
      <c r="A136" s="49"/>
      <c r="B136" s="50">
        <v>136</v>
      </c>
      <c r="C136" s="50"/>
      <c r="D136" s="50"/>
      <c r="E136" s="50"/>
      <c r="F136" s="50"/>
      <c r="G136" s="50"/>
      <c r="H136" s="50"/>
      <c r="I136" s="50"/>
      <c r="J136" s="61" t="s">
        <v>161</v>
      </c>
      <c r="K136" s="61">
        <v>2.7</v>
      </c>
      <c r="L136" s="49"/>
    </row>
    <row r="137" spans="1:12" x14ac:dyDescent="0.25">
      <c r="A137" s="49"/>
      <c r="B137" s="50">
        <v>137</v>
      </c>
      <c r="C137" s="50" t="s">
        <v>233</v>
      </c>
      <c r="D137" s="50"/>
      <c r="E137" s="50"/>
      <c r="F137" s="50"/>
      <c r="G137" s="50"/>
      <c r="H137" s="50"/>
      <c r="I137" s="50"/>
      <c r="J137" s="61" t="s">
        <v>162</v>
      </c>
      <c r="K137" s="61">
        <v>2.6</v>
      </c>
      <c r="L137" s="49"/>
    </row>
    <row r="138" spans="1:12" x14ac:dyDescent="0.25">
      <c r="A138" s="49"/>
      <c r="B138" s="50">
        <v>138</v>
      </c>
      <c r="C138" s="56" t="s">
        <v>234</v>
      </c>
      <c r="D138" s="56">
        <v>159</v>
      </c>
      <c r="E138" s="50"/>
      <c r="F138" s="50"/>
      <c r="G138" s="50"/>
      <c r="H138" s="50"/>
      <c r="I138" s="50"/>
      <c r="J138" s="50"/>
      <c r="K138" s="50"/>
      <c r="L138" s="49"/>
    </row>
    <row r="139" spans="1:12" x14ac:dyDescent="0.25">
      <c r="A139" s="49"/>
      <c r="B139" s="50">
        <v>139</v>
      </c>
      <c r="C139" s="56" t="s">
        <v>235</v>
      </c>
      <c r="D139" s="56">
        <v>99</v>
      </c>
      <c r="E139" s="50"/>
      <c r="F139" s="50"/>
      <c r="G139" s="50"/>
      <c r="H139" s="50"/>
      <c r="I139" s="50"/>
      <c r="J139" s="50"/>
      <c r="K139" s="50"/>
      <c r="L139" s="49"/>
    </row>
    <row r="140" spans="1:12" x14ac:dyDescent="0.25">
      <c r="A140" s="49"/>
      <c r="B140" s="50">
        <v>140</v>
      </c>
      <c r="C140" s="56" t="s">
        <v>864</v>
      </c>
      <c r="D140" s="56">
        <v>15</v>
      </c>
      <c r="E140" s="50"/>
      <c r="F140" s="50"/>
      <c r="G140" s="50"/>
      <c r="H140" s="50"/>
      <c r="I140" s="50"/>
      <c r="J140" s="50"/>
      <c r="K140" s="50"/>
      <c r="L140" s="49"/>
    </row>
    <row r="141" spans="1:12" x14ac:dyDescent="0.25">
      <c r="A141" s="49"/>
      <c r="B141" s="65">
        <v>141</v>
      </c>
      <c r="C141" s="69" t="s">
        <v>237</v>
      </c>
      <c r="D141" s="69">
        <v>5</v>
      </c>
      <c r="H141" s="50"/>
      <c r="I141" s="50"/>
      <c r="J141" s="50"/>
      <c r="K141" s="50"/>
      <c r="L141" s="49"/>
    </row>
    <row r="142" spans="1:12" x14ac:dyDescent="0.25">
      <c r="A142" s="49"/>
      <c r="B142" s="50">
        <v>142</v>
      </c>
      <c r="C142" s="56" t="s">
        <v>236</v>
      </c>
      <c r="D142" s="56">
        <f>INT(D138*2/D141)</f>
        <v>63</v>
      </c>
      <c r="E142" s="50"/>
      <c r="F142" s="50"/>
      <c r="G142" s="50"/>
      <c r="H142" s="50"/>
      <c r="I142" s="50"/>
      <c r="J142" s="50"/>
      <c r="K142" s="50"/>
      <c r="L142" s="49"/>
    </row>
    <row r="143" spans="1:12" x14ac:dyDescent="0.25">
      <c r="A143" s="49"/>
      <c r="B143" s="50">
        <v>143</v>
      </c>
      <c r="C143" s="56" t="s">
        <v>238</v>
      </c>
      <c r="D143" s="56">
        <v>15</v>
      </c>
      <c r="E143" s="50"/>
      <c r="F143" s="50"/>
      <c r="G143" s="50"/>
      <c r="H143" s="50"/>
      <c r="I143" s="50"/>
      <c r="J143" s="50"/>
      <c r="K143" s="50"/>
      <c r="L143" s="49"/>
    </row>
    <row r="144" spans="1:12" x14ac:dyDescent="0.25">
      <c r="A144" s="49"/>
      <c r="B144" s="50">
        <v>144</v>
      </c>
      <c r="G144" s="50"/>
      <c r="H144" s="50"/>
      <c r="I144" s="50"/>
      <c r="J144" s="50"/>
      <c r="K144" s="50"/>
      <c r="L144" s="49"/>
    </row>
    <row r="145" spans="1:12" x14ac:dyDescent="0.25">
      <c r="A145" s="49"/>
      <c r="B145" s="50">
        <v>145</v>
      </c>
      <c r="C145" s="50" t="s">
        <v>392</v>
      </c>
      <c r="D145" s="50"/>
      <c r="E145" s="50"/>
      <c r="F145" s="50"/>
      <c r="H145" s="50"/>
      <c r="I145" s="50"/>
      <c r="J145" s="50"/>
      <c r="K145" s="50"/>
      <c r="L145" s="49"/>
    </row>
    <row r="146" spans="1:12" x14ac:dyDescent="0.25">
      <c r="A146" s="49"/>
      <c r="B146" s="50">
        <v>146</v>
      </c>
      <c r="C146" s="108" t="s">
        <v>250</v>
      </c>
      <c r="D146" s="108" t="s">
        <v>251</v>
      </c>
      <c r="E146" s="62" t="s">
        <v>252</v>
      </c>
      <c r="F146" s="130"/>
      <c r="G146" s="131"/>
      <c r="H146" s="50"/>
      <c r="I146" s="50"/>
      <c r="J146" s="50"/>
      <c r="K146" s="50"/>
      <c r="L146" s="49"/>
    </row>
    <row r="147" spans="1:12" x14ac:dyDescent="0.25">
      <c r="A147" s="49"/>
      <c r="B147" s="50">
        <v>147</v>
      </c>
      <c r="C147" s="108" t="s">
        <v>253</v>
      </c>
      <c r="D147" s="108" t="b">
        <f>AND(OR(D148:D152,D154:D160)=FALSE,D161,'2. СФ-МАШ-4 №1'!D87&gt;0)</f>
        <v>0</v>
      </c>
      <c r="E147" s="53" t="s">
        <v>253</v>
      </c>
      <c r="F147" s="130"/>
      <c r="G147" s="131"/>
      <c r="H147" s="49"/>
      <c r="I147" s="49"/>
      <c r="J147" s="49"/>
      <c r="K147" s="49"/>
      <c r="L147" s="49"/>
    </row>
    <row r="148" spans="1:12" x14ac:dyDescent="0.25">
      <c r="A148" s="49"/>
      <c r="B148" s="50">
        <v>148</v>
      </c>
      <c r="C148" s="109" t="s">
        <v>239</v>
      </c>
      <c r="D148" s="109" t="b">
        <f>('2. СФ-МАШ-4 №1'!D68&gt;'2. СФ-МАШ-4 №1'!D69)</f>
        <v>0</v>
      </c>
      <c r="E148" s="53" t="s">
        <v>239</v>
      </c>
      <c r="F148" s="130"/>
      <c r="G148" s="131"/>
      <c r="H148" s="49"/>
      <c r="I148" s="49"/>
      <c r="J148" s="49"/>
      <c r="K148" s="49"/>
      <c r="L148" s="49"/>
    </row>
    <row r="149" spans="1:12" x14ac:dyDescent="0.25">
      <c r="A149" s="49"/>
      <c r="B149" s="50">
        <v>149</v>
      </c>
      <c r="C149" s="108" t="s">
        <v>240</v>
      </c>
      <c r="D149" s="108" t="b">
        <f>'2. СФ-МАШ-4 №1'!D88&gt;D138</f>
        <v>0</v>
      </c>
      <c r="E149" s="53" t="s">
        <v>240</v>
      </c>
      <c r="F149" s="130"/>
      <c r="G149" s="131"/>
      <c r="H149" s="49"/>
      <c r="I149" s="49"/>
      <c r="J149" s="49"/>
      <c r="K149" s="49"/>
      <c r="L149" s="49"/>
    </row>
    <row r="150" spans="1:12" x14ac:dyDescent="0.25">
      <c r="A150" s="49"/>
      <c r="B150" s="50">
        <v>150</v>
      </c>
      <c r="C150" s="108" t="s">
        <v>241</v>
      </c>
      <c r="D150" s="108" t="b">
        <f>'2. СФ-МАШ-4 №1'!D89&gt;D139</f>
        <v>0</v>
      </c>
      <c r="E150" s="132"/>
      <c r="F150" s="50"/>
      <c r="G150" s="50"/>
      <c r="H150" s="49"/>
      <c r="I150" s="49"/>
      <c r="J150" s="49"/>
      <c r="K150" s="49"/>
      <c r="L150" s="49"/>
    </row>
    <row r="151" spans="1:12" x14ac:dyDescent="0.25">
      <c r="A151" s="49"/>
      <c r="B151" s="50">
        <v>151</v>
      </c>
      <c r="C151" s="108" t="s">
        <v>242</v>
      </c>
      <c r="D151" s="108" t="b">
        <f>'2. СФ-МАШ-4 №1'!D90&gt;D138</f>
        <v>0</v>
      </c>
      <c r="E151" s="53" t="s">
        <v>242</v>
      </c>
      <c r="F151" s="130"/>
      <c r="G151" s="131"/>
      <c r="H151" s="49"/>
      <c r="I151" s="49"/>
      <c r="J151" s="49"/>
      <c r="K151" s="49"/>
      <c r="L151" s="49"/>
    </row>
    <row r="152" spans="1:12" x14ac:dyDescent="0.25">
      <c r="A152" s="49"/>
      <c r="B152" s="50">
        <v>152</v>
      </c>
      <c r="C152" s="108" t="s">
        <v>243</v>
      </c>
      <c r="D152" s="108" t="b">
        <f>'2. СФ-МАШ-4 №1'!D91&gt;D139</f>
        <v>0</v>
      </c>
      <c r="E152" s="132"/>
      <c r="F152" s="50"/>
      <c r="G152" s="50"/>
      <c r="H152" s="49"/>
      <c r="I152" s="49"/>
      <c r="J152" s="49"/>
      <c r="K152" s="49"/>
      <c r="L152" s="49"/>
    </row>
    <row r="153" spans="1:12" x14ac:dyDescent="0.25">
      <c r="A153" s="49"/>
      <c r="B153" s="50">
        <v>153</v>
      </c>
      <c r="C153" s="108" t="s">
        <v>865</v>
      </c>
      <c r="D153" s="108" t="b">
        <f>AND('2. СФ-МАШ-4 №1'!D93&lt;D140,'2. СФ-МАШ-4 №1'!D92&gt;0)</f>
        <v>0</v>
      </c>
      <c r="E153" s="53" t="s">
        <v>254</v>
      </c>
      <c r="F153" s="130"/>
      <c r="G153" s="131"/>
      <c r="H153" s="49"/>
      <c r="I153" s="49"/>
      <c r="J153" s="49"/>
      <c r="K153" s="49"/>
      <c r="L153" s="49"/>
    </row>
    <row r="154" spans="1:12" x14ac:dyDescent="0.25">
      <c r="A154" s="49"/>
      <c r="B154" s="50">
        <v>154</v>
      </c>
      <c r="C154" s="108" t="s">
        <v>866</v>
      </c>
      <c r="D154" s="100" t="b">
        <f>AND('2. СФ-МАШ-4 №1'!D93&lt;D141,'2. СФ-МАШ-4 №1'!D92&gt;0)</f>
        <v>0</v>
      </c>
      <c r="H154" s="49"/>
      <c r="I154" s="49"/>
      <c r="J154" s="49"/>
      <c r="K154" s="49"/>
      <c r="L154" s="49"/>
    </row>
    <row r="155" spans="1:12" x14ac:dyDescent="0.25">
      <c r="A155" s="49"/>
      <c r="B155" s="50">
        <v>155</v>
      </c>
      <c r="C155" s="108" t="s">
        <v>245</v>
      </c>
      <c r="D155" s="108" t="b">
        <f>AND('2. СФ-МАШ-4 №1'!D19&gt;0,'2. СФ-МАШ-4 №1'!D59=0)</f>
        <v>0</v>
      </c>
      <c r="E155" s="53" t="s">
        <v>255</v>
      </c>
      <c r="F155" s="130"/>
      <c r="G155" s="131"/>
      <c r="H155" s="49"/>
      <c r="I155" s="49"/>
      <c r="J155" s="49"/>
      <c r="K155" s="49"/>
      <c r="L155" s="49"/>
    </row>
    <row r="156" spans="1:12" x14ac:dyDescent="0.25">
      <c r="A156" s="49"/>
      <c r="B156" s="50">
        <v>156</v>
      </c>
      <c r="C156" s="108" t="s">
        <v>355</v>
      </c>
      <c r="D156" s="108" t="b">
        <f>'2. СФ-МАШ-4 №1'!D59&gt;'2. СФ-МАШ-4 №1'!D19</f>
        <v>0</v>
      </c>
      <c r="E156" s="132"/>
      <c r="F156" s="50"/>
      <c r="G156" s="50"/>
      <c r="H156" s="49"/>
      <c r="I156" s="49"/>
      <c r="J156" s="49"/>
      <c r="K156" s="49"/>
      <c r="L156" s="49"/>
    </row>
    <row r="157" spans="1:12" x14ac:dyDescent="0.25">
      <c r="A157" s="49"/>
      <c r="B157" s="50">
        <v>157</v>
      </c>
      <c r="C157" s="108" t="s">
        <v>244</v>
      </c>
      <c r="D157" s="108" t="b">
        <f>'2. СФ-МАШ-4 №1'!D95&gt;D143</f>
        <v>0</v>
      </c>
      <c r="E157" s="132"/>
      <c r="F157" s="50"/>
      <c r="G157" s="50"/>
      <c r="H157" s="49"/>
      <c r="I157" s="49"/>
      <c r="J157" s="49"/>
      <c r="K157" s="49"/>
      <c r="L157" s="49"/>
    </row>
    <row r="158" spans="1:12" x14ac:dyDescent="0.25">
      <c r="A158" s="49"/>
      <c r="B158" s="50">
        <v>158</v>
      </c>
      <c r="C158" s="108" t="s">
        <v>246</v>
      </c>
      <c r="D158" s="108" t="b">
        <f>SUM('2. СФ-МАШ-4 №1'!K8:K22,'2. СФ-МАШ-4 №1'!K24:K35,'2. СФ-МАШ-4 №1'!K39:K55)&gt;SUM(U8:U56)</f>
        <v>0</v>
      </c>
      <c r="E158" s="53" t="s">
        <v>301</v>
      </c>
      <c r="F158" s="130"/>
      <c r="G158" s="131"/>
      <c r="H158" s="49"/>
      <c r="I158" s="49"/>
      <c r="J158" s="49"/>
      <c r="K158" s="49"/>
      <c r="L158" s="49"/>
    </row>
    <row r="159" spans="1:12" x14ac:dyDescent="0.25">
      <c r="B159" s="50">
        <v>159</v>
      </c>
      <c r="C159" s="108" t="s">
        <v>247</v>
      </c>
      <c r="D159" s="108" t="b">
        <f>'2. СФ-МАШ-4 №1'!D57&gt;I57</f>
        <v>0</v>
      </c>
      <c r="E159" s="53" t="s">
        <v>256</v>
      </c>
      <c r="F159" s="130"/>
      <c r="G159" s="131"/>
    </row>
    <row r="160" spans="1:12" x14ac:dyDescent="0.25">
      <c r="B160" s="50">
        <v>160</v>
      </c>
      <c r="C160" s="108" t="s">
        <v>249</v>
      </c>
      <c r="D160" s="108" t="b">
        <f>'2. СФ-МАШ-4 №1'!D58&gt;I61</f>
        <v>0</v>
      </c>
      <c r="E160" s="133" t="s">
        <v>357</v>
      </c>
      <c r="F160" s="66"/>
      <c r="G160" s="66"/>
    </row>
    <row r="161" spans="2:7" x14ac:dyDescent="0.25">
      <c r="B161" s="50">
        <v>161</v>
      </c>
      <c r="C161" s="108" t="s">
        <v>658</v>
      </c>
      <c r="D161" s="100" t="b">
        <f>'1. СФ-ШС-24'!I24&gt;=1</f>
        <v>0</v>
      </c>
      <c r="E161" s="53" t="s">
        <v>636</v>
      </c>
      <c r="F161" s="153"/>
      <c r="G161" s="154"/>
    </row>
    <row r="162" spans="2:7" x14ac:dyDescent="0.25">
      <c r="B162" s="50">
        <v>162</v>
      </c>
    </row>
    <row r="163" spans="2:7" x14ac:dyDescent="0.25">
      <c r="B163" s="50">
        <v>163</v>
      </c>
      <c r="C163" s="50" t="s">
        <v>393</v>
      </c>
    </row>
    <row r="164" spans="2:7" x14ac:dyDescent="0.25">
      <c r="B164" s="50">
        <v>164</v>
      </c>
      <c r="C164" s="114" t="s">
        <v>250</v>
      </c>
      <c r="D164" s="101" t="s">
        <v>251</v>
      </c>
      <c r="E164" s="121" t="s">
        <v>252</v>
      </c>
      <c r="F164" s="122"/>
      <c r="G164" s="123"/>
    </row>
    <row r="165" spans="2:7" x14ac:dyDescent="0.25">
      <c r="B165" s="50">
        <v>165</v>
      </c>
      <c r="C165" s="114" t="s">
        <v>253</v>
      </c>
      <c r="D165" s="117" t="b">
        <f>AND(OR(D166:D170,D172:D178)=FALSE,D179,'3. СФ-МАШ-4 №2'!D87&gt;0)</f>
        <v>0</v>
      </c>
      <c r="E165" s="124" t="s">
        <v>253</v>
      </c>
      <c r="F165" s="122"/>
      <c r="G165" s="123"/>
    </row>
    <row r="166" spans="2:7" x14ac:dyDescent="0.25">
      <c r="B166" s="50">
        <v>166</v>
      </c>
      <c r="C166" s="115" t="s">
        <v>239</v>
      </c>
      <c r="D166" s="117" t="b">
        <f>('3. СФ-МАШ-4 №2'!D68&gt;'3. СФ-МАШ-4 №2'!D69)</f>
        <v>0</v>
      </c>
      <c r="E166" s="124" t="s">
        <v>239</v>
      </c>
      <c r="F166" s="122"/>
      <c r="G166" s="123"/>
    </row>
    <row r="167" spans="2:7" x14ac:dyDescent="0.25">
      <c r="B167" s="50">
        <v>167</v>
      </c>
      <c r="C167" s="114" t="s">
        <v>240</v>
      </c>
      <c r="D167" s="117" t="b">
        <f>'3. СФ-МАШ-4 №2'!D88&gt;D138</f>
        <v>0</v>
      </c>
      <c r="E167" s="124" t="s">
        <v>240</v>
      </c>
      <c r="F167" s="122"/>
      <c r="G167" s="123"/>
    </row>
    <row r="168" spans="2:7" x14ac:dyDescent="0.25">
      <c r="B168" s="50">
        <v>168</v>
      </c>
      <c r="C168" s="114" t="s">
        <v>241</v>
      </c>
      <c r="D168" s="117" t="b">
        <f>'3. СФ-МАШ-4 №2'!D89&gt;D139</f>
        <v>0</v>
      </c>
      <c r="E168" s="125"/>
      <c r="F168" s="126"/>
      <c r="G168" s="126"/>
    </row>
    <row r="169" spans="2:7" x14ac:dyDescent="0.25">
      <c r="B169" s="50">
        <v>169</v>
      </c>
      <c r="C169" s="114" t="s">
        <v>242</v>
      </c>
      <c r="D169" s="117" t="b">
        <f>'3. СФ-МАШ-4 №2'!D90&gt;D138</f>
        <v>0</v>
      </c>
      <c r="E169" s="124" t="s">
        <v>242</v>
      </c>
      <c r="F169" s="122"/>
      <c r="G169" s="123"/>
    </row>
    <row r="170" spans="2:7" x14ac:dyDescent="0.25">
      <c r="B170" s="50">
        <v>170</v>
      </c>
      <c r="C170" s="114" t="s">
        <v>243</v>
      </c>
      <c r="D170" s="117" t="b">
        <f>'3. СФ-МАШ-4 №2'!D91&gt;D139</f>
        <v>0</v>
      </c>
      <c r="E170" s="125"/>
      <c r="F170" s="126"/>
      <c r="G170" s="126"/>
    </row>
    <row r="171" spans="2:7" x14ac:dyDescent="0.25">
      <c r="B171" s="50">
        <v>171</v>
      </c>
      <c r="C171" s="114" t="s">
        <v>865</v>
      </c>
      <c r="D171" s="117" t="b">
        <f>AND('3. СФ-МАШ-4 №2'!D93&lt;D140,'3. СФ-МАШ-4 №2'!D92&gt;0)</f>
        <v>0</v>
      </c>
      <c r="E171" s="124" t="s">
        <v>254</v>
      </c>
      <c r="F171" s="122"/>
      <c r="G171" s="123"/>
    </row>
    <row r="172" spans="2:7" x14ac:dyDescent="0.25">
      <c r="B172" s="50">
        <v>172</v>
      </c>
      <c r="C172" s="114" t="s">
        <v>866</v>
      </c>
      <c r="D172" s="101" t="b">
        <f>AND('3. СФ-МАШ-4 №2'!D93&lt;D141,'3. СФ-МАШ-4 №2'!D92&gt;0)</f>
        <v>0</v>
      </c>
    </row>
    <row r="173" spans="2:7" x14ac:dyDescent="0.25">
      <c r="B173" s="50">
        <v>173</v>
      </c>
      <c r="C173" s="114" t="s">
        <v>245</v>
      </c>
      <c r="D173" s="117" t="b">
        <f>AND('3. СФ-МАШ-4 №2'!D19&gt;0,'3. СФ-МАШ-4 №2'!D59=0)</f>
        <v>0</v>
      </c>
      <c r="E173" s="124" t="s">
        <v>255</v>
      </c>
      <c r="F173" s="122"/>
      <c r="G173" s="123"/>
    </row>
    <row r="174" spans="2:7" x14ac:dyDescent="0.25">
      <c r="B174" s="50">
        <v>174</v>
      </c>
      <c r="C174" s="114" t="s">
        <v>355</v>
      </c>
      <c r="D174" s="117" t="b">
        <f>'3. СФ-МАШ-4 №2'!D59&gt;'3. СФ-МАШ-4 №2'!D19</f>
        <v>0</v>
      </c>
      <c r="E174" s="125"/>
      <c r="F174" s="126"/>
      <c r="G174" s="126"/>
    </row>
    <row r="175" spans="2:7" x14ac:dyDescent="0.25">
      <c r="B175" s="50">
        <v>175</v>
      </c>
      <c r="C175" s="114" t="s">
        <v>244</v>
      </c>
      <c r="D175" s="117" t="b">
        <f>'3. СФ-МАШ-4 №2'!D95&gt;D143</f>
        <v>0</v>
      </c>
      <c r="E175" s="125"/>
      <c r="F175" s="126"/>
      <c r="G175" s="126"/>
    </row>
    <row r="176" spans="2:7" x14ac:dyDescent="0.25">
      <c r="B176" s="50">
        <v>176</v>
      </c>
      <c r="C176" s="114" t="s">
        <v>246</v>
      </c>
      <c r="D176" s="117" t="b">
        <f>SUM('3. СФ-МАШ-4 №2'!K8:K22,'3. СФ-МАШ-4 №2'!K24:K35,'3. СФ-МАШ-4 №2'!K39:K55)&gt;SUM(W8:W56)</f>
        <v>0</v>
      </c>
      <c r="E176" s="124" t="s">
        <v>301</v>
      </c>
      <c r="F176" s="122"/>
      <c r="G176" s="123"/>
    </row>
    <row r="177" spans="2:7" x14ac:dyDescent="0.25">
      <c r="B177" s="50">
        <v>177</v>
      </c>
      <c r="C177" s="114" t="s">
        <v>247</v>
      </c>
      <c r="D177" s="117" t="b">
        <f>'3. СФ-МАШ-4 №2'!D57&gt;I58</f>
        <v>0</v>
      </c>
      <c r="E177" s="124" t="s">
        <v>256</v>
      </c>
      <c r="F177" s="122"/>
      <c r="G177" s="123"/>
    </row>
    <row r="178" spans="2:7" x14ac:dyDescent="0.25">
      <c r="B178" s="50">
        <v>178</v>
      </c>
      <c r="C178" s="114" t="s">
        <v>249</v>
      </c>
      <c r="D178" s="117" t="b">
        <f>'3. СФ-МАШ-4 №2'!D58&gt;I62</f>
        <v>0</v>
      </c>
      <c r="E178" s="127" t="s">
        <v>357</v>
      </c>
      <c r="F178" s="128"/>
      <c r="G178" s="128"/>
    </row>
    <row r="179" spans="2:7" x14ac:dyDescent="0.25">
      <c r="B179" s="50">
        <v>179</v>
      </c>
      <c r="C179" s="164" t="s">
        <v>659</v>
      </c>
      <c r="D179" s="101" t="b">
        <f>'1. СФ-ШС-24'!I24&gt;=2</f>
        <v>0</v>
      </c>
      <c r="E179" s="53" t="s">
        <v>636</v>
      </c>
      <c r="F179" s="153"/>
      <c r="G179" s="154"/>
    </row>
    <row r="180" spans="2:7" x14ac:dyDescent="0.25">
      <c r="B180" s="50">
        <v>180</v>
      </c>
    </row>
    <row r="181" spans="2:7" x14ac:dyDescent="0.25">
      <c r="B181" s="50">
        <v>181</v>
      </c>
      <c r="C181" s="50" t="s">
        <v>394</v>
      </c>
      <c r="E181" s="129"/>
      <c r="F181" s="129"/>
      <c r="G181" s="129"/>
    </row>
    <row r="182" spans="2:7" x14ac:dyDescent="0.25">
      <c r="B182" s="50">
        <v>182</v>
      </c>
      <c r="C182" s="112" t="s">
        <v>250</v>
      </c>
      <c r="D182" s="102" t="s">
        <v>251</v>
      </c>
      <c r="E182" s="121" t="s">
        <v>252</v>
      </c>
      <c r="F182" s="122"/>
      <c r="G182" s="123"/>
    </row>
    <row r="183" spans="2:7" x14ac:dyDescent="0.25">
      <c r="B183" s="50">
        <v>183</v>
      </c>
      <c r="C183" s="112" t="s">
        <v>253</v>
      </c>
      <c r="D183" s="118" t="b">
        <f>AND(OR(D184:D188,D190:D196)=FALSE,D197,'4. СФ-МАШ-4 №3'!D87&gt;0)</f>
        <v>0</v>
      </c>
      <c r="E183" s="124" t="s">
        <v>253</v>
      </c>
      <c r="F183" s="122"/>
      <c r="G183" s="123"/>
    </row>
    <row r="184" spans="2:7" x14ac:dyDescent="0.25">
      <c r="B184" s="50">
        <v>184</v>
      </c>
      <c r="C184" s="113" t="s">
        <v>239</v>
      </c>
      <c r="D184" s="118" t="b">
        <f>('4. СФ-МАШ-4 №3'!D68&gt;'4. СФ-МАШ-4 №3'!D69)</f>
        <v>0</v>
      </c>
      <c r="E184" s="124" t="s">
        <v>239</v>
      </c>
      <c r="F184" s="122"/>
      <c r="G184" s="123"/>
    </row>
    <row r="185" spans="2:7" x14ac:dyDescent="0.25">
      <c r="B185" s="50">
        <v>185</v>
      </c>
      <c r="C185" s="112" t="s">
        <v>240</v>
      </c>
      <c r="D185" s="118" t="b">
        <f>'4. СФ-МАШ-4 №3'!D88&gt;D138</f>
        <v>0</v>
      </c>
      <c r="E185" s="124" t="s">
        <v>240</v>
      </c>
      <c r="F185" s="122"/>
      <c r="G185" s="123"/>
    </row>
    <row r="186" spans="2:7" x14ac:dyDescent="0.25">
      <c r="B186" s="50">
        <v>186</v>
      </c>
      <c r="C186" s="112" t="s">
        <v>241</v>
      </c>
      <c r="D186" s="118" t="b">
        <f>'4. СФ-МАШ-4 №3'!D89&gt;D139</f>
        <v>0</v>
      </c>
      <c r="E186" s="125"/>
      <c r="F186" s="126"/>
      <c r="G186" s="126"/>
    </row>
    <row r="187" spans="2:7" x14ac:dyDescent="0.25">
      <c r="B187" s="50">
        <v>187</v>
      </c>
      <c r="C187" s="112" t="s">
        <v>242</v>
      </c>
      <c r="D187" s="118" t="b">
        <f>'4. СФ-МАШ-4 №3'!D90&gt;D138</f>
        <v>0</v>
      </c>
      <c r="E187" s="124" t="s">
        <v>242</v>
      </c>
      <c r="F187" s="122"/>
      <c r="G187" s="123"/>
    </row>
    <row r="188" spans="2:7" x14ac:dyDescent="0.25">
      <c r="B188" s="50">
        <v>188</v>
      </c>
      <c r="C188" s="112" t="s">
        <v>243</v>
      </c>
      <c r="D188" s="118" t="b">
        <f>'4. СФ-МАШ-4 №3'!D91&gt;D139</f>
        <v>0</v>
      </c>
      <c r="E188" s="125"/>
      <c r="F188" s="126"/>
      <c r="G188" s="126"/>
    </row>
    <row r="189" spans="2:7" x14ac:dyDescent="0.25">
      <c r="B189" s="50">
        <v>189</v>
      </c>
      <c r="C189" s="112" t="s">
        <v>865</v>
      </c>
      <c r="D189" s="118" t="b">
        <f>AND('4. СФ-МАШ-4 №3'!D93&lt;D140,'4. СФ-МАШ-4 №3'!D92&gt;0)</f>
        <v>0</v>
      </c>
      <c r="E189" s="124" t="s">
        <v>254</v>
      </c>
      <c r="F189" s="122"/>
      <c r="G189" s="123"/>
    </row>
    <row r="190" spans="2:7" x14ac:dyDescent="0.25">
      <c r="B190" s="50">
        <v>190</v>
      </c>
      <c r="C190" s="112" t="s">
        <v>866</v>
      </c>
      <c r="D190" s="102" t="b">
        <f>AND('4. СФ-МАШ-4 №3'!D93&lt;D141,'4. СФ-МАШ-4 №3'!D92&gt;0)</f>
        <v>0</v>
      </c>
    </row>
    <row r="191" spans="2:7" x14ac:dyDescent="0.25">
      <c r="B191" s="50">
        <v>191</v>
      </c>
      <c r="C191" s="112" t="s">
        <v>245</v>
      </c>
      <c r="D191" s="118" t="b">
        <f>AND('4. СФ-МАШ-4 №3'!D19&gt;0,'4. СФ-МАШ-4 №3'!D59=0)</f>
        <v>0</v>
      </c>
      <c r="E191" s="124" t="s">
        <v>255</v>
      </c>
      <c r="F191" s="122"/>
      <c r="G191" s="123"/>
    </row>
    <row r="192" spans="2:7" x14ac:dyDescent="0.25">
      <c r="B192" s="50">
        <v>192</v>
      </c>
      <c r="C192" s="112" t="s">
        <v>355</v>
      </c>
      <c r="D192" s="118" t="b">
        <f>'4. СФ-МАШ-4 №3'!D59&gt;'4. СФ-МАШ-4 №3'!D19</f>
        <v>0</v>
      </c>
      <c r="E192" s="125"/>
      <c r="F192" s="126"/>
      <c r="G192" s="126"/>
    </row>
    <row r="193" spans="2:7" x14ac:dyDescent="0.25">
      <c r="B193" s="50">
        <v>193</v>
      </c>
      <c r="C193" s="112" t="s">
        <v>244</v>
      </c>
      <c r="D193" s="118" t="b">
        <f>'4. СФ-МАШ-4 №3'!D95&gt;D143</f>
        <v>0</v>
      </c>
      <c r="E193" s="125"/>
      <c r="F193" s="126"/>
      <c r="G193" s="126"/>
    </row>
    <row r="194" spans="2:7" x14ac:dyDescent="0.25">
      <c r="B194" s="50">
        <v>194</v>
      </c>
      <c r="C194" s="112" t="s">
        <v>246</v>
      </c>
      <c r="D194" s="118" t="b">
        <f>SUM('4. СФ-МАШ-4 №3'!K8:K22,'4. СФ-МАШ-4 №3'!K24:K35,'4. СФ-МАШ-4 №3'!K39:K55)&gt;SUM(Y8:Y56)</f>
        <v>0</v>
      </c>
      <c r="E194" s="124" t="s">
        <v>301</v>
      </c>
      <c r="F194" s="122"/>
      <c r="G194" s="123"/>
    </row>
    <row r="195" spans="2:7" x14ac:dyDescent="0.25">
      <c r="B195" s="50">
        <v>195</v>
      </c>
      <c r="C195" s="112" t="s">
        <v>247</v>
      </c>
      <c r="D195" s="118" t="b">
        <f>'4. СФ-МАШ-4 №3'!D57&gt;I59</f>
        <v>0</v>
      </c>
      <c r="E195" s="124" t="s">
        <v>256</v>
      </c>
      <c r="F195" s="122"/>
      <c r="G195" s="123"/>
    </row>
    <row r="196" spans="2:7" x14ac:dyDescent="0.25">
      <c r="B196" s="50">
        <v>196</v>
      </c>
      <c r="C196" s="112" t="s">
        <v>249</v>
      </c>
      <c r="D196" s="118" t="b">
        <f>'4. СФ-МАШ-4 №3'!D58&gt;I63</f>
        <v>0</v>
      </c>
      <c r="E196" s="127" t="s">
        <v>357</v>
      </c>
      <c r="F196" s="128"/>
      <c r="G196" s="128"/>
    </row>
    <row r="197" spans="2:7" x14ac:dyDescent="0.25">
      <c r="B197" s="50">
        <v>197</v>
      </c>
      <c r="C197" s="165" t="s">
        <v>658</v>
      </c>
      <c r="D197" s="102" t="b">
        <f>'1. СФ-ШС-24'!I24&gt;=3</f>
        <v>0</v>
      </c>
      <c r="E197" s="53" t="s">
        <v>636</v>
      </c>
      <c r="F197" s="153"/>
      <c r="G197" s="154"/>
    </row>
    <row r="198" spans="2:7" x14ac:dyDescent="0.25">
      <c r="B198" s="50">
        <v>198</v>
      </c>
    </row>
    <row r="199" spans="2:7" x14ac:dyDescent="0.25">
      <c r="B199" s="50">
        <v>199</v>
      </c>
      <c r="C199" s="50" t="s">
        <v>395</v>
      </c>
      <c r="E199" s="129"/>
      <c r="F199" s="129"/>
      <c r="G199" s="129"/>
    </row>
    <row r="200" spans="2:7" x14ac:dyDescent="0.25">
      <c r="B200" s="50">
        <v>200</v>
      </c>
      <c r="C200" s="110" t="s">
        <v>250</v>
      </c>
      <c r="D200" s="103" t="s">
        <v>251</v>
      </c>
      <c r="E200" s="121" t="s">
        <v>252</v>
      </c>
      <c r="F200" s="122"/>
      <c r="G200" s="123"/>
    </row>
    <row r="201" spans="2:7" x14ac:dyDescent="0.25">
      <c r="B201" s="50">
        <v>201</v>
      </c>
      <c r="C201" s="110" t="s">
        <v>253</v>
      </c>
      <c r="D201" s="119" t="b">
        <f>AND(OR(D202:D206,D208:D214)=FALSE,D215,'5. СФ-МАШ-4 №4'!D87&gt;0)</f>
        <v>0</v>
      </c>
      <c r="E201" s="124" t="s">
        <v>253</v>
      </c>
      <c r="F201" s="122"/>
      <c r="G201" s="123"/>
    </row>
    <row r="202" spans="2:7" x14ac:dyDescent="0.25">
      <c r="B202" s="50">
        <v>202</v>
      </c>
      <c r="C202" s="111" t="s">
        <v>239</v>
      </c>
      <c r="D202" s="119" t="b">
        <f>('5. СФ-МАШ-4 №4'!D68&gt;'5. СФ-МАШ-4 №4'!D69)</f>
        <v>0</v>
      </c>
      <c r="E202" s="124" t="s">
        <v>239</v>
      </c>
      <c r="F202" s="122"/>
      <c r="G202" s="123"/>
    </row>
    <row r="203" spans="2:7" x14ac:dyDescent="0.25">
      <c r="B203" s="50">
        <v>203</v>
      </c>
      <c r="C203" s="110" t="s">
        <v>240</v>
      </c>
      <c r="D203" s="119" t="b">
        <f>'5. СФ-МАШ-4 №4'!D88&gt;D138</f>
        <v>0</v>
      </c>
      <c r="E203" s="124" t="s">
        <v>240</v>
      </c>
      <c r="F203" s="122"/>
      <c r="G203" s="123"/>
    </row>
    <row r="204" spans="2:7" x14ac:dyDescent="0.25">
      <c r="B204" s="50">
        <v>204</v>
      </c>
      <c r="C204" s="110" t="s">
        <v>241</v>
      </c>
      <c r="D204" s="119" t="b">
        <f>'5. СФ-МАШ-4 №4'!D89&gt;D139</f>
        <v>0</v>
      </c>
      <c r="E204" s="125"/>
      <c r="F204" s="126"/>
      <c r="G204" s="126"/>
    </row>
    <row r="205" spans="2:7" x14ac:dyDescent="0.25">
      <c r="B205" s="50">
        <v>205</v>
      </c>
      <c r="C205" s="110" t="s">
        <v>242</v>
      </c>
      <c r="D205" s="119" t="b">
        <f>'5. СФ-МАШ-4 №4'!D90&gt;D138</f>
        <v>0</v>
      </c>
      <c r="E205" s="124" t="s">
        <v>242</v>
      </c>
      <c r="F205" s="122"/>
      <c r="G205" s="123"/>
    </row>
    <row r="206" spans="2:7" x14ac:dyDescent="0.25">
      <c r="B206" s="50">
        <v>206</v>
      </c>
      <c r="C206" s="110" t="s">
        <v>243</v>
      </c>
      <c r="D206" s="119" t="b">
        <f>'5. СФ-МАШ-4 №4'!D91&gt;D139</f>
        <v>0</v>
      </c>
      <c r="E206" s="125"/>
      <c r="F206" s="126"/>
      <c r="G206" s="126"/>
    </row>
    <row r="207" spans="2:7" x14ac:dyDescent="0.25">
      <c r="B207" s="50">
        <v>207</v>
      </c>
      <c r="C207" s="110" t="s">
        <v>865</v>
      </c>
      <c r="D207" s="119" t="b">
        <f>AND('5. СФ-МАШ-4 №4'!D93&lt;D140,'5. СФ-МАШ-4 №4'!D92&gt;0)</f>
        <v>0</v>
      </c>
      <c r="E207" s="124" t="s">
        <v>254</v>
      </c>
      <c r="F207" s="122"/>
      <c r="G207" s="123"/>
    </row>
    <row r="208" spans="2:7" x14ac:dyDescent="0.25">
      <c r="B208" s="50">
        <v>208</v>
      </c>
      <c r="C208" s="110" t="s">
        <v>866</v>
      </c>
      <c r="D208" s="103" t="b">
        <f>AND('5. СФ-МАШ-4 №4'!D93&lt;D141,'5. СФ-МАШ-4 №4'!D92&gt;0)</f>
        <v>0</v>
      </c>
    </row>
    <row r="209" spans="2:7" x14ac:dyDescent="0.25">
      <c r="B209" s="50">
        <v>209</v>
      </c>
      <c r="C209" s="110" t="s">
        <v>245</v>
      </c>
      <c r="D209" s="119" t="b">
        <f>AND('5. СФ-МАШ-4 №4'!D19&gt;0,'5. СФ-МАШ-4 №4'!D59=0)</f>
        <v>0</v>
      </c>
      <c r="E209" s="124" t="s">
        <v>255</v>
      </c>
      <c r="F209" s="122"/>
      <c r="G209" s="123"/>
    </row>
    <row r="210" spans="2:7" x14ac:dyDescent="0.25">
      <c r="B210" s="50">
        <v>210</v>
      </c>
      <c r="C210" s="110" t="s">
        <v>355</v>
      </c>
      <c r="D210" s="119" t="b">
        <f>'5. СФ-МАШ-4 №4'!D59&gt;'5. СФ-МАШ-4 №4'!D19</f>
        <v>0</v>
      </c>
      <c r="E210" s="125"/>
      <c r="F210" s="126"/>
      <c r="G210" s="126"/>
    </row>
    <row r="211" spans="2:7" x14ac:dyDescent="0.25">
      <c r="B211" s="50">
        <v>211</v>
      </c>
      <c r="C211" s="110" t="s">
        <v>244</v>
      </c>
      <c r="D211" s="119" t="b">
        <f>'5. СФ-МАШ-4 №4'!D95&gt;D143</f>
        <v>0</v>
      </c>
      <c r="E211" s="125"/>
      <c r="F211" s="126"/>
      <c r="G211" s="126"/>
    </row>
    <row r="212" spans="2:7" x14ac:dyDescent="0.25">
      <c r="C212" s="110" t="s">
        <v>246</v>
      </c>
      <c r="D212" s="119" t="b">
        <f>SUM('5. СФ-МАШ-4 №4'!K8:K22,'5. СФ-МАШ-4 №4'!K24:K35,'5. СФ-МАШ-4 №4'!K39:K55)&gt;SUM(AA8:AA56)</f>
        <v>0</v>
      </c>
      <c r="E212" s="124" t="s">
        <v>301</v>
      </c>
      <c r="F212" s="122"/>
      <c r="G212" s="123"/>
    </row>
    <row r="213" spans="2:7" x14ac:dyDescent="0.25">
      <c r="C213" s="110" t="s">
        <v>247</v>
      </c>
      <c r="D213" s="119" t="b">
        <f>'5. СФ-МАШ-4 №4'!D57&gt;I60</f>
        <v>0</v>
      </c>
      <c r="E213" s="124" t="s">
        <v>256</v>
      </c>
      <c r="F213" s="122"/>
      <c r="G213" s="123"/>
    </row>
    <row r="214" spans="2:7" x14ac:dyDescent="0.25">
      <c r="C214" s="110" t="s">
        <v>249</v>
      </c>
      <c r="D214" s="119" t="b">
        <f>'5. СФ-МАШ-4 №4'!D58&gt;I64</f>
        <v>0</v>
      </c>
      <c r="E214" s="127" t="s">
        <v>357</v>
      </c>
      <c r="F214" s="128"/>
      <c r="G214" s="128"/>
    </row>
    <row r="215" spans="2:7" x14ac:dyDescent="0.25">
      <c r="C215" s="166" t="s">
        <v>658</v>
      </c>
      <c r="D215" s="103" t="b">
        <f>'1. СФ-ШС-24'!I24=4</f>
        <v>0</v>
      </c>
      <c r="E215" s="53" t="s">
        <v>636</v>
      </c>
      <c r="F215" s="153"/>
      <c r="G215" s="154"/>
    </row>
  </sheetData>
  <mergeCells count="4">
    <mergeCell ref="AD5:AF5"/>
    <mergeCell ref="AG5:AI5"/>
    <mergeCell ref="AJ5:AL5"/>
    <mergeCell ref="AM5:AO5"/>
  </mergeCells>
  <dataValidations disablePrompts="1" count="2">
    <dataValidation type="list" allowBlank="1" showInputMessage="1" showErrorMessage="1" sqref="D73">
      <formula1>#REF!</formula1>
    </dataValidation>
    <dataValidation type="list" allowBlank="1" showInputMessage="1" showErrorMessage="1" sqref="D74">
      <formula1>$D$161:$D$163</formula1>
    </dataValidation>
  </dataValidations>
  <pageMargins left="0.7" right="0.7" top="0.75" bottom="0.75" header="0.3" footer="0.3"/>
  <pageSetup paperSize="9" scale="1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168"/>
  <sheetViews>
    <sheetView zoomScaleNormal="100" workbookViewId="0">
      <selection activeCell="C3" sqref="C3"/>
    </sheetView>
  </sheetViews>
  <sheetFormatPr defaultRowHeight="15" x14ac:dyDescent="0.25"/>
  <cols>
    <col min="1" max="1" width="5" customWidth="1"/>
    <col min="2" max="2" width="43.5703125" customWidth="1"/>
    <col min="3" max="3" width="11" customWidth="1"/>
    <col min="5" max="5" width="43.5703125" customWidth="1"/>
    <col min="6" max="6" width="11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5.75" x14ac:dyDescent="0.25">
      <c r="A2" s="1"/>
      <c r="B2" s="167" t="s">
        <v>661</v>
      </c>
      <c r="C2" s="184"/>
      <c r="D2" s="1"/>
      <c r="E2" s="167" t="s">
        <v>679</v>
      </c>
      <c r="F2" s="18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/>
      <c r="B3" s="168" t="s">
        <v>662</v>
      </c>
      <c r="C3" s="169">
        <v>0</v>
      </c>
      <c r="D3" s="1"/>
      <c r="E3" s="168" t="s">
        <v>664</v>
      </c>
      <c r="F3" s="180">
        <f>8-F4</f>
        <v>8</v>
      </c>
      <c r="G3" s="1"/>
      <c r="H3" s="185"/>
      <c r="I3" s="1" t="s">
        <v>713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5">
      <c r="A4" s="1"/>
      <c r="B4" s="170" t="s">
        <v>663</v>
      </c>
      <c r="C4" s="169">
        <v>0</v>
      </c>
      <c r="D4" s="1"/>
      <c r="E4" s="170" t="s">
        <v>662</v>
      </c>
      <c r="F4" s="169">
        <v>0</v>
      </c>
      <c r="G4" s="1"/>
      <c r="H4" s="117"/>
      <c r="I4" s="1" t="s">
        <v>714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x14ac:dyDescent="0.25">
      <c r="A5" s="1"/>
      <c r="B5" s="168" t="s">
        <v>664</v>
      </c>
      <c r="C5" s="169">
        <v>0</v>
      </c>
      <c r="D5" s="1"/>
      <c r="E5" s="168" t="s">
        <v>666</v>
      </c>
      <c r="F5" s="181">
        <v>8</v>
      </c>
      <c r="G5" s="1"/>
      <c r="H5" s="118"/>
      <c r="I5" s="1" t="s">
        <v>715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x14ac:dyDescent="0.25">
      <c r="A6" s="1"/>
      <c r="B6" s="170" t="s">
        <v>665</v>
      </c>
      <c r="C6" s="171">
        <f>8-SUM(C3:C5)</f>
        <v>8</v>
      </c>
      <c r="D6" s="1"/>
      <c r="E6" s="170" t="s">
        <v>667</v>
      </c>
      <c r="F6" s="181">
        <v>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x14ac:dyDescent="0.25">
      <c r="A7" s="1"/>
      <c r="B7" s="172" t="s">
        <v>666</v>
      </c>
      <c r="C7" s="173">
        <v>8</v>
      </c>
      <c r="D7" s="1"/>
      <c r="E7" s="176" t="s">
        <v>668</v>
      </c>
      <c r="F7" s="17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5">
      <c r="A8" s="1"/>
      <c r="B8" s="174" t="s">
        <v>667</v>
      </c>
      <c r="C8" s="175">
        <v>0</v>
      </c>
      <c r="D8" s="1"/>
      <c r="E8" s="170" t="s">
        <v>669</v>
      </c>
      <c r="F8" s="178">
        <f>ДДанные!J$20</f>
        <v>95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1"/>
      <c r="B9" s="176" t="s">
        <v>668</v>
      </c>
      <c r="C9" s="177"/>
      <c r="D9" s="1"/>
      <c r="E9" s="168" t="s">
        <v>670</v>
      </c>
      <c r="F9" s="179">
        <f>ДДанные!J$21</f>
        <v>220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1"/>
      <c r="B10" s="170" t="s">
        <v>669</v>
      </c>
      <c r="C10" s="182">
        <f>ДДанные!J$8</f>
        <v>103</v>
      </c>
      <c r="D10" s="1"/>
      <c r="E10" s="1"/>
      <c r="F10" s="140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1"/>
      <c r="B11" s="168" t="s">
        <v>670</v>
      </c>
      <c r="C11" s="183">
        <f>ДДанные!J$9</f>
        <v>256</v>
      </c>
      <c r="D11" s="1"/>
      <c r="E11" s="1"/>
      <c r="F11" s="14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x14ac:dyDescent="0.25">
      <c r="A13" s="1"/>
      <c r="B13" s="167" t="s">
        <v>671</v>
      </c>
      <c r="C13" s="184"/>
      <c r="D13" s="1"/>
      <c r="E13" s="167" t="s">
        <v>680</v>
      </c>
      <c r="F13" s="18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1"/>
      <c r="B14" s="168" t="s">
        <v>662</v>
      </c>
      <c r="C14" s="169">
        <v>0</v>
      </c>
      <c r="D14" s="1"/>
      <c r="E14" s="168" t="s">
        <v>664</v>
      </c>
      <c r="F14" s="180">
        <f>8-F15</f>
        <v>8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5">
      <c r="A15" s="1"/>
      <c r="B15" s="170" t="s">
        <v>663</v>
      </c>
      <c r="C15" s="169">
        <v>0</v>
      </c>
      <c r="D15" s="1"/>
      <c r="E15" s="170" t="s">
        <v>662</v>
      </c>
      <c r="F15" s="169"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5">
      <c r="A16" s="1"/>
      <c r="B16" s="168" t="s">
        <v>664</v>
      </c>
      <c r="C16" s="169">
        <v>0</v>
      </c>
      <c r="D16" s="1"/>
      <c r="E16" s="168" t="s">
        <v>666</v>
      </c>
      <c r="F16" s="181">
        <v>8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B17" s="170" t="s">
        <v>665</v>
      </c>
      <c r="C17" s="171">
        <f>8-SUM(C14:C16)</f>
        <v>8</v>
      </c>
      <c r="D17" s="1"/>
      <c r="E17" s="170" t="s">
        <v>667</v>
      </c>
      <c r="F17" s="181"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B18" s="172" t="s">
        <v>666</v>
      </c>
      <c r="C18" s="173">
        <v>8</v>
      </c>
      <c r="D18" s="1"/>
      <c r="E18" s="176" t="s">
        <v>668</v>
      </c>
      <c r="F18" s="17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B19" s="174" t="s">
        <v>667</v>
      </c>
      <c r="C19" s="175">
        <v>0</v>
      </c>
      <c r="D19" s="1"/>
      <c r="E19" s="170" t="s">
        <v>669</v>
      </c>
      <c r="F19" s="178">
        <f>ДДанные!J$20</f>
        <v>95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B20" s="176" t="s">
        <v>668</v>
      </c>
      <c r="C20" s="177"/>
      <c r="D20" s="1"/>
      <c r="E20" s="168" t="s">
        <v>670</v>
      </c>
      <c r="F20" s="179">
        <f>ДДанные!J$21</f>
        <v>220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B21" s="170" t="s">
        <v>669</v>
      </c>
      <c r="C21" s="182">
        <f>ДДанные!K$8</f>
        <v>103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B22" s="168" t="s">
        <v>670</v>
      </c>
      <c r="C22" s="183">
        <f>ДДанные!K$9</f>
        <v>256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x14ac:dyDescent="0.25">
      <c r="A24" s="1"/>
      <c r="B24" s="167" t="s">
        <v>672</v>
      </c>
      <c r="C24" s="184"/>
      <c r="D24" s="1"/>
      <c r="E24" s="167" t="s">
        <v>681</v>
      </c>
      <c r="F24" s="184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B25" s="168" t="s">
        <v>662</v>
      </c>
      <c r="C25" s="169">
        <v>0</v>
      </c>
      <c r="D25" s="1"/>
      <c r="E25" s="168" t="s">
        <v>664</v>
      </c>
      <c r="F25" s="180">
        <f>8-F26</f>
        <v>8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B26" s="170" t="s">
        <v>663</v>
      </c>
      <c r="C26" s="169">
        <v>0</v>
      </c>
      <c r="D26" s="1"/>
      <c r="E26" s="170" t="s">
        <v>662</v>
      </c>
      <c r="F26" s="169"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B27" s="168" t="s">
        <v>664</v>
      </c>
      <c r="C27" s="169">
        <v>0</v>
      </c>
      <c r="D27" s="1"/>
      <c r="E27" s="168" t="s">
        <v>666</v>
      </c>
      <c r="F27" s="181">
        <v>8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B28" s="170" t="s">
        <v>665</v>
      </c>
      <c r="C28" s="171">
        <f>8-SUM(C25:C27)</f>
        <v>8</v>
      </c>
      <c r="D28" s="1"/>
      <c r="E28" s="170" t="s">
        <v>667</v>
      </c>
      <c r="F28" s="181"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B29" s="172" t="s">
        <v>666</v>
      </c>
      <c r="C29" s="173">
        <v>8</v>
      </c>
      <c r="D29" s="1"/>
      <c r="E29" s="176" t="s">
        <v>668</v>
      </c>
      <c r="F29" s="17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B30" s="174" t="s">
        <v>667</v>
      </c>
      <c r="C30" s="175">
        <v>0</v>
      </c>
      <c r="D30" s="1"/>
      <c r="E30" s="170" t="s">
        <v>669</v>
      </c>
      <c r="F30" s="178">
        <f>ДДанные!J$20</f>
        <v>95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B31" s="176" t="s">
        <v>668</v>
      </c>
      <c r="C31" s="177"/>
      <c r="D31" s="1"/>
      <c r="E31" s="168" t="s">
        <v>670</v>
      </c>
      <c r="F31" s="179">
        <f>ДДанные!J$21</f>
        <v>220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B32" s="170" t="s">
        <v>669</v>
      </c>
      <c r="C32" s="182">
        <f>ДДанные!L$8</f>
        <v>103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B33" s="168" t="s">
        <v>670</v>
      </c>
      <c r="C33" s="183">
        <f>ДДанные!L$9</f>
        <v>256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x14ac:dyDescent="0.25">
      <c r="A35" s="1"/>
      <c r="B35" s="167" t="s">
        <v>673</v>
      </c>
      <c r="C35" s="184"/>
      <c r="D35" s="1"/>
      <c r="E35" s="167" t="s">
        <v>682</v>
      </c>
      <c r="F35" s="184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B36" s="168" t="s">
        <v>662</v>
      </c>
      <c r="C36" s="169">
        <v>0</v>
      </c>
      <c r="D36" s="1"/>
      <c r="E36" s="168" t="s">
        <v>664</v>
      </c>
      <c r="F36" s="180">
        <f>8-F37</f>
        <v>8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B37" s="170" t="s">
        <v>663</v>
      </c>
      <c r="C37" s="169">
        <v>0</v>
      </c>
      <c r="D37" s="1"/>
      <c r="E37" s="170" t="s">
        <v>662</v>
      </c>
      <c r="F37" s="169">
        <v>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B38" s="168" t="s">
        <v>664</v>
      </c>
      <c r="C38" s="169">
        <v>0</v>
      </c>
      <c r="D38" s="1"/>
      <c r="E38" s="168" t="s">
        <v>666</v>
      </c>
      <c r="F38" s="181">
        <v>8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B39" s="170" t="s">
        <v>665</v>
      </c>
      <c r="C39" s="171">
        <f>8-SUM(C36:C38)</f>
        <v>8</v>
      </c>
      <c r="D39" s="1"/>
      <c r="E39" s="170" t="s">
        <v>667</v>
      </c>
      <c r="F39" s="181">
        <v>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B40" s="172" t="s">
        <v>666</v>
      </c>
      <c r="C40" s="173">
        <v>8</v>
      </c>
      <c r="D40" s="1"/>
      <c r="E40" s="176" t="s">
        <v>668</v>
      </c>
      <c r="F40" s="177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B41" s="174" t="s">
        <v>667</v>
      </c>
      <c r="C41" s="175">
        <v>0</v>
      </c>
      <c r="D41" s="1"/>
      <c r="E41" s="170" t="s">
        <v>669</v>
      </c>
      <c r="F41" s="178">
        <f>ДДанные!J$20</f>
        <v>95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B42" s="176" t="s">
        <v>668</v>
      </c>
      <c r="C42" s="177"/>
      <c r="D42" s="1"/>
      <c r="E42" s="168" t="s">
        <v>670</v>
      </c>
      <c r="F42" s="179">
        <f>ДДанные!J$21</f>
        <v>220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B43" s="170" t="s">
        <v>669</v>
      </c>
      <c r="C43" s="182">
        <f>ДДанные!M$8</f>
        <v>103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B44" s="168" t="s">
        <v>670</v>
      </c>
      <c r="C44" s="183">
        <f>ДДанные!M$9</f>
        <v>256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x14ac:dyDescent="0.25">
      <c r="A46" s="1"/>
      <c r="B46" s="167" t="s">
        <v>674</v>
      </c>
      <c r="C46" s="184"/>
      <c r="D46" s="1"/>
      <c r="E46" s="167" t="s">
        <v>683</v>
      </c>
      <c r="F46" s="18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B47" s="168" t="s">
        <v>662</v>
      </c>
      <c r="C47" s="169">
        <v>0</v>
      </c>
      <c r="D47" s="1"/>
      <c r="E47" s="168" t="s">
        <v>664</v>
      </c>
      <c r="F47" s="180">
        <f>8-F48</f>
        <v>8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1"/>
      <c r="B48" s="170" t="s">
        <v>663</v>
      </c>
      <c r="C48" s="169">
        <v>0</v>
      </c>
      <c r="D48" s="1"/>
      <c r="E48" s="170" t="s">
        <v>662</v>
      </c>
      <c r="F48" s="169">
        <v>0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B49" s="168" t="s">
        <v>664</v>
      </c>
      <c r="C49" s="169">
        <v>0</v>
      </c>
      <c r="D49" s="1"/>
      <c r="E49" s="168" t="s">
        <v>666</v>
      </c>
      <c r="F49" s="181">
        <v>8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B50" s="170" t="s">
        <v>665</v>
      </c>
      <c r="C50" s="171">
        <f>8-SUM(C47:C49)</f>
        <v>8</v>
      </c>
      <c r="D50" s="1"/>
      <c r="E50" s="170" t="s">
        <v>667</v>
      </c>
      <c r="F50" s="181">
        <v>0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B51" s="172" t="s">
        <v>666</v>
      </c>
      <c r="C51" s="173">
        <v>8</v>
      </c>
      <c r="D51" s="1"/>
      <c r="E51" s="176" t="s">
        <v>668</v>
      </c>
      <c r="F51" s="177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B52" s="174" t="s">
        <v>667</v>
      </c>
      <c r="C52" s="175">
        <v>0</v>
      </c>
      <c r="D52" s="1"/>
      <c r="E52" s="170" t="s">
        <v>669</v>
      </c>
      <c r="F52" s="178">
        <f>ДДанные!J$20</f>
        <v>95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B53" s="176" t="s">
        <v>668</v>
      </c>
      <c r="C53" s="177"/>
      <c r="D53" s="1"/>
      <c r="E53" s="168" t="s">
        <v>670</v>
      </c>
      <c r="F53" s="179">
        <f>ДДанные!J$21</f>
        <v>220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B54" s="170" t="s">
        <v>669</v>
      </c>
      <c r="C54" s="182">
        <f>ДДанные!N$8</f>
        <v>103</v>
      </c>
      <c r="D54" s="1"/>
      <c r="E54" s="145"/>
      <c r="F54" s="145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B55" s="168" t="s">
        <v>670</v>
      </c>
      <c r="C55" s="183">
        <f>ДДанные!N$9</f>
        <v>256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45"/>
      <c r="B56" s="145"/>
      <c r="C56" s="145"/>
      <c r="D56" s="145"/>
      <c r="E56" s="1"/>
      <c r="F56" s="1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"/>
      <c r="X56" s="1"/>
      <c r="Y56" s="1"/>
      <c r="Z56" s="1"/>
      <c r="AA56" s="1"/>
    </row>
    <row r="57" spans="1:27" ht="15.75" x14ac:dyDescent="0.25">
      <c r="A57" s="145"/>
      <c r="B57" s="167" t="s">
        <v>675</v>
      </c>
      <c r="C57" s="184"/>
      <c r="D57" s="145"/>
      <c r="E57" s="167" t="s">
        <v>684</v>
      </c>
      <c r="F57" s="184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"/>
      <c r="X57" s="1"/>
      <c r="Y57" s="1"/>
      <c r="Z57" s="1"/>
      <c r="AA57" s="1"/>
    </row>
    <row r="58" spans="1:27" x14ac:dyDescent="0.25">
      <c r="A58" s="145"/>
      <c r="B58" s="168" t="s">
        <v>662</v>
      </c>
      <c r="C58" s="169">
        <v>0</v>
      </c>
      <c r="D58" s="145"/>
      <c r="E58" s="168" t="s">
        <v>664</v>
      </c>
      <c r="F58" s="180">
        <f>8-F59</f>
        <v>8</v>
      </c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"/>
      <c r="X58" s="1"/>
      <c r="Y58" s="1"/>
      <c r="Z58" s="1"/>
      <c r="AA58" s="1"/>
    </row>
    <row r="59" spans="1:27" x14ac:dyDescent="0.25">
      <c r="A59" s="145"/>
      <c r="B59" s="170" t="s">
        <v>663</v>
      </c>
      <c r="C59" s="169">
        <v>0</v>
      </c>
      <c r="D59" s="145"/>
      <c r="E59" s="170" t="s">
        <v>662</v>
      </c>
      <c r="F59" s="169">
        <v>0</v>
      </c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"/>
      <c r="X59" s="1"/>
      <c r="Y59" s="1"/>
      <c r="Z59" s="1"/>
      <c r="AA59" s="1"/>
    </row>
    <row r="60" spans="1:27" x14ac:dyDescent="0.25">
      <c r="A60" s="145"/>
      <c r="B60" s="168" t="s">
        <v>664</v>
      </c>
      <c r="C60" s="169">
        <v>0</v>
      </c>
      <c r="D60" s="145"/>
      <c r="E60" s="168" t="s">
        <v>666</v>
      </c>
      <c r="F60" s="181">
        <v>8</v>
      </c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"/>
      <c r="X60" s="1"/>
      <c r="Y60" s="1"/>
      <c r="Z60" s="1"/>
      <c r="AA60" s="1"/>
    </row>
    <row r="61" spans="1:27" x14ac:dyDescent="0.25">
      <c r="A61" s="145"/>
      <c r="B61" s="170" t="s">
        <v>665</v>
      </c>
      <c r="C61" s="171">
        <f>8-SUM(C58:C60)</f>
        <v>8</v>
      </c>
      <c r="D61" s="145"/>
      <c r="E61" s="170" t="s">
        <v>667</v>
      </c>
      <c r="F61" s="181">
        <v>0</v>
      </c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"/>
      <c r="X61" s="1"/>
      <c r="Y61" s="1"/>
      <c r="Z61" s="1"/>
      <c r="AA61" s="1"/>
    </row>
    <row r="62" spans="1:27" x14ac:dyDescent="0.25">
      <c r="A62" s="145"/>
      <c r="B62" s="172" t="s">
        <v>666</v>
      </c>
      <c r="C62" s="173">
        <v>8</v>
      </c>
      <c r="D62" s="145"/>
      <c r="E62" s="176" t="s">
        <v>668</v>
      </c>
      <c r="F62" s="177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"/>
      <c r="X62" s="1"/>
      <c r="Y62" s="1"/>
      <c r="Z62" s="1"/>
      <c r="AA62" s="1"/>
    </row>
    <row r="63" spans="1:27" x14ac:dyDescent="0.25">
      <c r="A63" s="145"/>
      <c r="B63" s="174" t="s">
        <v>667</v>
      </c>
      <c r="C63" s="175">
        <v>0</v>
      </c>
      <c r="D63" s="145"/>
      <c r="E63" s="170" t="s">
        <v>669</v>
      </c>
      <c r="F63" s="178">
        <f>ДДанные!J$20</f>
        <v>95</v>
      </c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"/>
      <c r="X63" s="1"/>
      <c r="Y63" s="1"/>
      <c r="Z63" s="1"/>
      <c r="AA63" s="1"/>
    </row>
    <row r="64" spans="1:27" x14ac:dyDescent="0.25">
      <c r="A64" s="145"/>
      <c r="B64" s="176" t="s">
        <v>668</v>
      </c>
      <c r="C64" s="177"/>
      <c r="D64" s="145"/>
      <c r="E64" s="168" t="s">
        <v>670</v>
      </c>
      <c r="F64" s="179">
        <f>ДДанные!J$21</f>
        <v>220</v>
      </c>
      <c r="G64" s="145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"/>
      <c r="X64" s="1"/>
      <c r="Y64" s="1"/>
      <c r="Z64" s="1"/>
      <c r="AA64" s="1"/>
    </row>
    <row r="65" spans="1:27" x14ac:dyDescent="0.25">
      <c r="A65" s="145"/>
      <c r="B65" s="170" t="s">
        <v>669</v>
      </c>
      <c r="C65" s="182">
        <f>ДДанные!O$8</f>
        <v>103</v>
      </c>
      <c r="D65" s="145"/>
      <c r="E65" s="143"/>
      <c r="F65" s="143"/>
      <c r="G65" s="145"/>
      <c r="H65" s="145"/>
      <c r="I65" s="145"/>
      <c r="J65" s="145"/>
      <c r="K65" s="145"/>
      <c r="L65" s="145"/>
      <c r="M65" s="145"/>
      <c r="N65" s="145"/>
      <c r="O65" s="145"/>
      <c r="P65" s="145"/>
      <c r="Q65" s="145"/>
      <c r="R65" s="145"/>
      <c r="S65" s="145"/>
      <c r="T65" s="145"/>
      <c r="U65" s="145"/>
      <c r="V65" s="145"/>
      <c r="W65" s="1"/>
      <c r="X65" s="1"/>
      <c r="Y65" s="1"/>
      <c r="Z65" s="1"/>
      <c r="AA65" s="1"/>
    </row>
    <row r="66" spans="1:27" x14ac:dyDescent="0.25">
      <c r="A66" s="145"/>
      <c r="B66" s="168" t="s">
        <v>670</v>
      </c>
      <c r="C66" s="183">
        <f>ДДанные!O$9</f>
        <v>256</v>
      </c>
      <c r="D66" s="145"/>
      <c r="E66" s="1"/>
      <c r="F66" s="1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"/>
      <c r="X66" s="1"/>
      <c r="Y66" s="1"/>
      <c r="Z66" s="1"/>
      <c r="AA66" s="1"/>
    </row>
    <row r="67" spans="1:27" x14ac:dyDescent="0.25">
      <c r="A67" s="145"/>
      <c r="B67" s="145"/>
      <c r="C67" s="145"/>
      <c r="D67" s="145"/>
      <c r="E67" s="1"/>
      <c r="F67" s="1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"/>
      <c r="X67" s="1"/>
      <c r="Y67" s="1"/>
      <c r="Z67" s="1"/>
      <c r="AA67" s="1"/>
    </row>
    <row r="68" spans="1:27" ht="15.75" x14ac:dyDescent="0.25">
      <c r="A68" s="145"/>
      <c r="B68" s="167" t="s">
        <v>676</v>
      </c>
      <c r="C68" s="184"/>
      <c r="D68" s="145"/>
      <c r="E68" s="167" t="s">
        <v>685</v>
      </c>
      <c r="F68" s="184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"/>
      <c r="X68" s="1"/>
      <c r="Y68" s="1"/>
      <c r="Z68" s="1"/>
      <c r="AA68" s="1"/>
    </row>
    <row r="69" spans="1:27" x14ac:dyDescent="0.25">
      <c r="A69" s="145"/>
      <c r="B69" s="168" t="s">
        <v>662</v>
      </c>
      <c r="C69" s="169">
        <v>0</v>
      </c>
      <c r="D69" s="145"/>
      <c r="E69" s="168" t="s">
        <v>664</v>
      </c>
      <c r="F69" s="180">
        <f>8-F70</f>
        <v>8</v>
      </c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"/>
      <c r="X69" s="1"/>
      <c r="Y69" s="1"/>
      <c r="Z69" s="1"/>
      <c r="AA69" s="1"/>
    </row>
    <row r="70" spans="1:27" x14ac:dyDescent="0.25">
      <c r="A70" s="145"/>
      <c r="B70" s="170" t="s">
        <v>663</v>
      </c>
      <c r="C70" s="169">
        <v>0</v>
      </c>
      <c r="D70" s="145"/>
      <c r="E70" s="170" t="s">
        <v>662</v>
      </c>
      <c r="F70" s="169">
        <v>0</v>
      </c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"/>
      <c r="X70" s="1"/>
      <c r="Y70" s="1"/>
      <c r="Z70" s="1"/>
      <c r="AA70" s="1"/>
    </row>
    <row r="71" spans="1:27" x14ac:dyDescent="0.25">
      <c r="A71" s="145"/>
      <c r="B71" s="168" t="s">
        <v>664</v>
      </c>
      <c r="C71" s="169">
        <v>0</v>
      </c>
      <c r="D71" s="145"/>
      <c r="E71" s="168" t="s">
        <v>666</v>
      </c>
      <c r="F71" s="181">
        <v>8</v>
      </c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"/>
      <c r="X71" s="1"/>
      <c r="Y71" s="1"/>
      <c r="Z71" s="1"/>
      <c r="AA71" s="1"/>
    </row>
    <row r="72" spans="1:27" x14ac:dyDescent="0.25">
      <c r="A72" s="145"/>
      <c r="B72" s="170" t="s">
        <v>665</v>
      </c>
      <c r="C72" s="171">
        <f>8-SUM(C69:C71)</f>
        <v>8</v>
      </c>
      <c r="D72" s="145"/>
      <c r="E72" s="170" t="s">
        <v>667</v>
      </c>
      <c r="F72" s="181">
        <v>0</v>
      </c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"/>
      <c r="X72" s="1"/>
      <c r="Y72" s="1"/>
      <c r="Z72" s="1"/>
      <c r="AA72" s="1"/>
    </row>
    <row r="73" spans="1:27" x14ac:dyDescent="0.25">
      <c r="A73" s="145"/>
      <c r="B73" s="172" t="s">
        <v>666</v>
      </c>
      <c r="C73" s="173">
        <v>8</v>
      </c>
      <c r="D73" s="145"/>
      <c r="E73" s="176" t="s">
        <v>668</v>
      </c>
      <c r="F73" s="177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"/>
      <c r="X73" s="1"/>
      <c r="Y73" s="1"/>
      <c r="Z73" s="1"/>
      <c r="AA73" s="1"/>
    </row>
    <row r="74" spans="1:27" x14ac:dyDescent="0.25">
      <c r="A74" s="145"/>
      <c r="B74" s="174" t="s">
        <v>667</v>
      </c>
      <c r="C74" s="175">
        <v>0</v>
      </c>
      <c r="D74" s="145"/>
      <c r="E74" s="170" t="s">
        <v>669</v>
      </c>
      <c r="F74" s="178">
        <f>ДДанные!J$20</f>
        <v>95</v>
      </c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"/>
      <c r="X74" s="1"/>
      <c r="Y74" s="1"/>
      <c r="Z74" s="1"/>
      <c r="AA74" s="1"/>
    </row>
    <row r="75" spans="1:27" x14ac:dyDescent="0.25">
      <c r="A75" s="145"/>
      <c r="B75" s="176" t="s">
        <v>668</v>
      </c>
      <c r="C75" s="177"/>
      <c r="D75" s="145"/>
      <c r="E75" s="168" t="s">
        <v>670</v>
      </c>
      <c r="F75" s="179">
        <f>ДДанные!J$21</f>
        <v>220</v>
      </c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"/>
      <c r="X75" s="1"/>
      <c r="Y75" s="1"/>
      <c r="Z75" s="1"/>
      <c r="AA75" s="1"/>
    </row>
    <row r="76" spans="1:27" x14ac:dyDescent="0.25">
      <c r="A76" s="145"/>
      <c r="B76" s="170" t="s">
        <v>669</v>
      </c>
      <c r="C76" s="182">
        <f>ДДанные!P$8</f>
        <v>103</v>
      </c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"/>
      <c r="X76" s="1"/>
      <c r="Y76" s="1"/>
      <c r="Z76" s="1"/>
      <c r="AA76" s="1"/>
    </row>
    <row r="77" spans="1:27" x14ac:dyDescent="0.25">
      <c r="A77" s="145"/>
      <c r="B77" s="168" t="s">
        <v>670</v>
      </c>
      <c r="C77" s="183">
        <f>ДДанные!P$9</f>
        <v>256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"/>
      <c r="X77" s="1"/>
      <c r="Y77" s="1"/>
      <c r="Z77" s="1"/>
      <c r="AA77" s="1"/>
    </row>
    <row r="78" spans="1:27" x14ac:dyDescent="0.25">
      <c r="A78" s="143"/>
      <c r="B78" s="145"/>
      <c r="C78" s="145"/>
      <c r="D78" s="143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"/>
      <c r="X78" s="1"/>
      <c r="Y78" s="1"/>
      <c r="Z78" s="1"/>
      <c r="AA78" s="1"/>
    </row>
    <row r="79" spans="1:27" ht="15.75" x14ac:dyDescent="0.25">
      <c r="A79" s="143"/>
      <c r="B79" s="167" t="s">
        <v>693</v>
      </c>
      <c r="C79" s="184"/>
      <c r="D79" s="1"/>
      <c r="E79" s="167" t="s">
        <v>709</v>
      </c>
      <c r="F79" s="184"/>
      <c r="G79" s="1"/>
      <c r="H79" s="1"/>
      <c r="I79" s="1"/>
      <c r="J79" s="1"/>
      <c r="K79" s="1"/>
      <c r="L79" s="1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"/>
      <c r="X79" s="1"/>
      <c r="Y79" s="1"/>
      <c r="Z79" s="1"/>
      <c r="AA79" s="1"/>
    </row>
    <row r="80" spans="1:27" x14ac:dyDescent="0.25">
      <c r="A80" s="143"/>
      <c r="B80" s="168" t="s">
        <v>662</v>
      </c>
      <c r="C80" s="169">
        <v>0</v>
      </c>
      <c r="D80" s="1"/>
      <c r="E80" s="168" t="s">
        <v>664</v>
      </c>
      <c r="F80" s="180">
        <f>8-F81</f>
        <v>8</v>
      </c>
      <c r="G80" s="1"/>
      <c r="H80" s="1"/>
      <c r="I80" s="1"/>
      <c r="J80" s="1"/>
      <c r="K80" s="1"/>
      <c r="L80" s="1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"/>
      <c r="X80" s="1"/>
      <c r="Y80" s="1"/>
      <c r="Z80" s="1"/>
      <c r="AA80" s="1"/>
    </row>
    <row r="81" spans="1:27" x14ac:dyDescent="0.25">
      <c r="A81" s="143"/>
      <c r="B81" s="170" t="s">
        <v>663</v>
      </c>
      <c r="C81" s="169">
        <v>0</v>
      </c>
      <c r="D81" s="1"/>
      <c r="E81" s="170" t="s">
        <v>662</v>
      </c>
      <c r="F81" s="169">
        <v>0</v>
      </c>
      <c r="G81" s="1"/>
      <c r="H81" s="1"/>
      <c r="I81" s="1"/>
      <c r="J81" s="1"/>
      <c r="K81" s="1"/>
      <c r="L81" s="1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"/>
      <c r="X81" s="1"/>
      <c r="Y81" s="1"/>
      <c r="Z81" s="1"/>
      <c r="AA81" s="1"/>
    </row>
    <row r="82" spans="1:27" x14ac:dyDescent="0.25">
      <c r="A82" s="143"/>
      <c r="B82" s="168" t="s">
        <v>664</v>
      </c>
      <c r="C82" s="169">
        <v>0</v>
      </c>
      <c r="D82" s="1"/>
      <c r="E82" s="168" t="s">
        <v>666</v>
      </c>
      <c r="F82" s="181">
        <v>8</v>
      </c>
      <c r="G82" s="1"/>
      <c r="H82" s="1"/>
      <c r="I82" s="1"/>
      <c r="J82" s="1"/>
      <c r="K82" s="1"/>
      <c r="L82" s="1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"/>
      <c r="X82" s="1"/>
      <c r="Y82" s="1"/>
      <c r="Z82" s="1"/>
      <c r="AA82" s="1"/>
    </row>
    <row r="83" spans="1:27" x14ac:dyDescent="0.25">
      <c r="A83" s="143"/>
      <c r="B83" s="170" t="s">
        <v>665</v>
      </c>
      <c r="C83" s="171">
        <f>8-SUM(C80:C82)</f>
        <v>8</v>
      </c>
      <c r="D83" s="1"/>
      <c r="E83" s="170" t="s">
        <v>667</v>
      </c>
      <c r="F83" s="181">
        <v>0</v>
      </c>
      <c r="G83" s="1"/>
      <c r="H83" s="1"/>
      <c r="I83" s="1"/>
      <c r="J83" s="1"/>
      <c r="K83" s="1"/>
      <c r="L83" s="1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"/>
      <c r="X83" s="1"/>
      <c r="Y83" s="1"/>
      <c r="Z83" s="1"/>
      <c r="AA83" s="1"/>
    </row>
    <row r="84" spans="1:27" x14ac:dyDescent="0.25">
      <c r="A84" s="143"/>
      <c r="B84" s="172" t="s">
        <v>666</v>
      </c>
      <c r="C84" s="173">
        <v>8</v>
      </c>
      <c r="D84" s="1"/>
      <c r="E84" s="176" t="s">
        <v>668</v>
      </c>
      <c r="F84" s="177"/>
      <c r="G84" s="1"/>
      <c r="H84" s="1"/>
      <c r="I84" s="1"/>
      <c r="J84" s="1"/>
      <c r="K84" s="1"/>
      <c r="L84" s="1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"/>
      <c r="X84" s="1"/>
      <c r="Y84" s="1"/>
      <c r="Z84" s="1"/>
      <c r="AA84" s="1"/>
    </row>
    <row r="85" spans="1:27" x14ac:dyDescent="0.25">
      <c r="A85" s="143"/>
      <c r="B85" s="174" t="s">
        <v>667</v>
      </c>
      <c r="C85" s="175">
        <v>0</v>
      </c>
      <c r="D85" s="1"/>
      <c r="E85" s="170" t="s">
        <v>669</v>
      </c>
      <c r="F85" s="178">
        <f>ДДанные!J$20</f>
        <v>95</v>
      </c>
      <c r="G85" s="1"/>
      <c r="H85" s="1"/>
      <c r="I85" s="1"/>
      <c r="J85" s="1"/>
      <c r="K85" s="1"/>
      <c r="L85" s="1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"/>
      <c r="X85" s="1"/>
      <c r="Y85" s="1"/>
      <c r="Z85" s="1"/>
      <c r="AA85" s="1"/>
    </row>
    <row r="86" spans="1:27" x14ac:dyDescent="0.25">
      <c r="A86" s="143"/>
      <c r="B86" s="176" t="s">
        <v>668</v>
      </c>
      <c r="C86" s="177"/>
      <c r="D86" s="1"/>
      <c r="E86" s="168" t="s">
        <v>670</v>
      </c>
      <c r="F86" s="179">
        <f>ДДанные!J$21</f>
        <v>220</v>
      </c>
      <c r="G86" s="1"/>
      <c r="H86" s="1"/>
      <c r="I86" s="1"/>
      <c r="J86" s="1"/>
      <c r="K86" s="1"/>
      <c r="L86" s="1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"/>
      <c r="X86" s="1"/>
      <c r="Y86" s="1"/>
      <c r="Z86" s="1"/>
      <c r="AA86" s="1"/>
    </row>
    <row r="87" spans="1:27" x14ac:dyDescent="0.25">
      <c r="A87" s="143"/>
      <c r="B87" s="170" t="s">
        <v>669</v>
      </c>
      <c r="C87" s="182">
        <f>ДДанные!Q$8</f>
        <v>103</v>
      </c>
      <c r="D87" s="1"/>
      <c r="E87" s="1"/>
      <c r="F87" s="1"/>
      <c r="G87" s="1"/>
      <c r="H87" s="1"/>
      <c r="I87" s="1"/>
      <c r="J87" s="1"/>
      <c r="K87" s="1"/>
      <c r="L87" s="1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"/>
      <c r="X87" s="1"/>
      <c r="Y87" s="1"/>
      <c r="Z87" s="1"/>
      <c r="AA87" s="1"/>
    </row>
    <row r="88" spans="1:27" x14ac:dyDescent="0.25">
      <c r="A88" s="143"/>
      <c r="B88" s="168" t="s">
        <v>670</v>
      </c>
      <c r="C88" s="183">
        <f>ДДанные!Q$9</f>
        <v>256</v>
      </c>
      <c r="D88" s="1"/>
      <c r="E88" s="1"/>
      <c r="F88" s="1"/>
      <c r="G88" s="1"/>
      <c r="H88" s="1"/>
      <c r="I88" s="1"/>
      <c r="J88" s="1"/>
      <c r="K88" s="1"/>
      <c r="L88" s="1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"/>
      <c r="X88" s="1"/>
      <c r="Y88" s="1"/>
      <c r="Z88" s="1"/>
      <c r="AA88" s="1"/>
    </row>
    <row r="89" spans="1:27" x14ac:dyDescent="0.25">
      <c r="A89" s="143"/>
      <c r="B89" s="145"/>
      <c r="C89" s="145"/>
      <c r="D89" s="1"/>
      <c r="E89" s="1"/>
      <c r="F89" s="1"/>
      <c r="G89" s="1"/>
      <c r="H89" s="1"/>
      <c r="I89" s="1"/>
      <c r="J89" s="1"/>
      <c r="K89" s="1"/>
      <c r="L89" s="1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"/>
      <c r="X89" s="1"/>
      <c r="Y89" s="1"/>
      <c r="Z89" s="1"/>
      <c r="AA89" s="1"/>
    </row>
    <row r="90" spans="1:27" ht="15.75" x14ac:dyDescent="0.25">
      <c r="A90" s="143"/>
      <c r="B90" s="167" t="s">
        <v>694</v>
      </c>
      <c r="C90" s="184"/>
      <c r="D90" s="1"/>
      <c r="E90" s="167" t="s">
        <v>710</v>
      </c>
      <c r="F90" s="184"/>
      <c r="G90" s="1"/>
      <c r="H90" s="1"/>
      <c r="I90" s="1"/>
      <c r="J90" s="1"/>
      <c r="K90" s="1"/>
      <c r="L90" s="1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"/>
      <c r="X90" s="1"/>
      <c r="Y90" s="1"/>
      <c r="Z90" s="1"/>
      <c r="AA90" s="1"/>
    </row>
    <row r="91" spans="1:27" x14ac:dyDescent="0.25">
      <c r="A91" s="143"/>
      <c r="B91" s="168" t="s">
        <v>662</v>
      </c>
      <c r="C91" s="169">
        <v>0</v>
      </c>
      <c r="D91" s="1"/>
      <c r="E91" s="168" t="s">
        <v>664</v>
      </c>
      <c r="F91" s="180">
        <f>8-F92</f>
        <v>8</v>
      </c>
      <c r="G91" s="1"/>
      <c r="H91" s="1"/>
      <c r="I91" s="1"/>
      <c r="J91" s="1"/>
      <c r="K91" s="1"/>
      <c r="L91" s="1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"/>
      <c r="X91" s="1"/>
      <c r="Y91" s="1"/>
      <c r="Z91" s="1"/>
      <c r="AA91" s="1"/>
    </row>
    <row r="92" spans="1:27" x14ac:dyDescent="0.25">
      <c r="A92" s="143"/>
      <c r="B92" s="170" t="s">
        <v>663</v>
      </c>
      <c r="C92" s="169">
        <v>0</v>
      </c>
      <c r="D92" s="1"/>
      <c r="E92" s="170" t="s">
        <v>662</v>
      </c>
      <c r="F92" s="169">
        <v>0</v>
      </c>
      <c r="G92" s="1"/>
      <c r="H92" s="1"/>
      <c r="I92" s="1"/>
      <c r="J92" s="1"/>
      <c r="K92" s="1"/>
      <c r="L92" s="1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"/>
      <c r="X92" s="1"/>
      <c r="Y92" s="1"/>
      <c r="Z92" s="1"/>
      <c r="AA92" s="1"/>
    </row>
    <row r="93" spans="1:27" x14ac:dyDescent="0.25">
      <c r="A93" s="143"/>
      <c r="B93" s="168" t="s">
        <v>664</v>
      </c>
      <c r="C93" s="169">
        <v>0</v>
      </c>
      <c r="D93" s="1"/>
      <c r="E93" s="168" t="s">
        <v>666</v>
      </c>
      <c r="F93" s="181">
        <v>8</v>
      </c>
      <c r="G93" s="1"/>
      <c r="H93" s="1"/>
      <c r="I93" s="1"/>
      <c r="J93" s="1"/>
      <c r="K93" s="1"/>
      <c r="L93" s="1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"/>
      <c r="X93" s="1"/>
      <c r="Y93" s="1"/>
      <c r="Z93" s="1"/>
      <c r="AA93" s="1"/>
    </row>
    <row r="94" spans="1:27" x14ac:dyDescent="0.25">
      <c r="A94" s="143"/>
      <c r="B94" s="170" t="s">
        <v>665</v>
      </c>
      <c r="C94" s="171">
        <f>8-SUM(C91:C93)</f>
        <v>8</v>
      </c>
      <c r="D94" s="1"/>
      <c r="E94" s="170" t="s">
        <v>667</v>
      </c>
      <c r="F94" s="181">
        <v>0</v>
      </c>
      <c r="G94" s="1"/>
      <c r="H94" s="1"/>
      <c r="I94" s="1"/>
      <c r="J94" s="1"/>
      <c r="K94" s="1"/>
      <c r="L94" s="1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"/>
      <c r="X94" s="1"/>
      <c r="Y94" s="1"/>
      <c r="Z94" s="1"/>
      <c r="AA94" s="1"/>
    </row>
    <row r="95" spans="1:27" x14ac:dyDescent="0.25">
      <c r="A95" s="143"/>
      <c r="B95" s="172" t="s">
        <v>666</v>
      </c>
      <c r="C95" s="173">
        <v>8</v>
      </c>
      <c r="D95" s="1"/>
      <c r="E95" s="176" t="s">
        <v>668</v>
      </c>
      <c r="F95" s="177"/>
      <c r="G95" s="1"/>
      <c r="H95" s="1"/>
      <c r="I95" s="1"/>
      <c r="J95" s="1"/>
      <c r="K95" s="1"/>
      <c r="L95" s="1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"/>
      <c r="X95" s="1"/>
      <c r="Y95" s="1"/>
      <c r="Z95" s="1"/>
      <c r="AA95" s="1"/>
    </row>
    <row r="96" spans="1:27" x14ac:dyDescent="0.25">
      <c r="A96" s="145"/>
      <c r="B96" s="174" t="s">
        <v>667</v>
      </c>
      <c r="C96" s="175">
        <v>0</v>
      </c>
      <c r="D96" s="1"/>
      <c r="E96" s="170" t="s">
        <v>669</v>
      </c>
      <c r="F96" s="178">
        <f>ДДанные!J$20</f>
        <v>95</v>
      </c>
      <c r="G96" s="1"/>
      <c r="H96" s="1"/>
      <c r="I96" s="1"/>
      <c r="J96" s="1"/>
      <c r="K96" s="1"/>
      <c r="L96" s="1"/>
      <c r="M96" s="1"/>
      <c r="N96" s="1"/>
      <c r="O96" s="145"/>
      <c r="P96" s="145"/>
      <c r="Q96" s="145"/>
      <c r="R96" s="145"/>
      <c r="S96" s="145"/>
      <c r="T96" s="145"/>
      <c r="U96" s="145"/>
      <c r="V96" s="145"/>
      <c r="W96" s="1"/>
      <c r="X96" s="1"/>
      <c r="Y96" s="1"/>
      <c r="Z96" s="1"/>
      <c r="AA96" s="1"/>
    </row>
    <row r="97" spans="1:27" x14ac:dyDescent="0.25">
      <c r="A97" s="145"/>
      <c r="B97" s="176" t="s">
        <v>668</v>
      </c>
      <c r="C97" s="177"/>
      <c r="D97" s="1"/>
      <c r="E97" s="168" t="s">
        <v>670</v>
      </c>
      <c r="F97" s="179">
        <f>ДДанные!J$21</f>
        <v>220</v>
      </c>
      <c r="G97" s="1"/>
      <c r="H97" s="1"/>
      <c r="I97" s="1"/>
      <c r="J97" s="1"/>
      <c r="K97" s="1"/>
      <c r="L97" s="1"/>
      <c r="M97" s="1"/>
      <c r="N97" s="1"/>
      <c r="O97" s="145"/>
      <c r="P97" s="145"/>
      <c r="Q97" s="145"/>
      <c r="R97" s="145"/>
      <c r="S97" s="145"/>
      <c r="T97" s="145"/>
      <c r="U97" s="145"/>
      <c r="V97" s="145"/>
      <c r="W97" s="1"/>
      <c r="X97" s="1"/>
      <c r="Y97" s="1"/>
      <c r="Z97" s="1"/>
      <c r="AA97" s="1"/>
    </row>
    <row r="98" spans="1:27" x14ac:dyDescent="0.25">
      <c r="A98" s="145"/>
      <c r="B98" s="170" t="s">
        <v>669</v>
      </c>
      <c r="C98" s="182">
        <f>ДДанные!R$8</f>
        <v>103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V98" s="145"/>
      <c r="W98" s="1"/>
      <c r="X98" s="1"/>
      <c r="Y98" s="1"/>
      <c r="Z98" s="1"/>
      <c r="AA98" s="1"/>
    </row>
    <row r="99" spans="1:27" x14ac:dyDescent="0.25">
      <c r="A99" s="145"/>
      <c r="B99" s="168" t="s">
        <v>670</v>
      </c>
      <c r="C99" s="183">
        <f>ДДанные!R$9</f>
        <v>256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45"/>
      <c r="U99" s="145"/>
      <c r="V99" s="145"/>
      <c r="W99" s="1"/>
      <c r="X99" s="1"/>
      <c r="Y99" s="1"/>
      <c r="Z99" s="1"/>
      <c r="AA99" s="1"/>
    </row>
    <row r="100" spans="1:27" x14ac:dyDescent="0.25">
      <c r="A100" s="145"/>
      <c r="B100" s="145"/>
      <c r="C100" s="145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45"/>
      <c r="U100" s="145"/>
      <c r="V100" s="145"/>
      <c r="W100" s="1"/>
      <c r="X100" s="1"/>
      <c r="Y100" s="1"/>
      <c r="Z100" s="1"/>
      <c r="AA100" s="1"/>
    </row>
    <row r="101" spans="1:27" ht="15.75" x14ac:dyDescent="0.25">
      <c r="A101" s="145"/>
      <c r="B101" s="167" t="s">
        <v>695</v>
      </c>
      <c r="C101" s="184"/>
      <c r="D101" s="1"/>
      <c r="E101" s="167" t="s">
        <v>711</v>
      </c>
      <c r="F101" s="18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45"/>
      <c r="U101" s="145"/>
      <c r="V101" s="145"/>
      <c r="W101" s="1"/>
      <c r="X101" s="1"/>
      <c r="Y101" s="1"/>
      <c r="Z101" s="1"/>
      <c r="AA101" s="1"/>
    </row>
    <row r="102" spans="1:27" x14ac:dyDescent="0.25">
      <c r="A102" s="145"/>
      <c r="B102" s="168" t="s">
        <v>662</v>
      </c>
      <c r="C102" s="169">
        <v>0</v>
      </c>
      <c r="D102" s="1"/>
      <c r="E102" s="168" t="s">
        <v>664</v>
      </c>
      <c r="F102" s="180">
        <f>8-F103</f>
        <v>8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45"/>
      <c r="U102" s="145"/>
      <c r="V102" s="145"/>
      <c r="W102" s="1"/>
      <c r="X102" s="1"/>
      <c r="Y102" s="1"/>
      <c r="Z102" s="1"/>
      <c r="AA102" s="1"/>
    </row>
    <row r="103" spans="1:27" x14ac:dyDescent="0.25">
      <c r="A103" s="145"/>
      <c r="B103" s="170" t="s">
        <v>663</v>
      </c>
      <c r="C103" s="169">
        <v>0</v>
      </c>
      <c r="D103" s="1"/>
      <c r="E103" s="170" t="s">
        <v>662</v>
      </c>
      <c r="F103" s="169">
        <v>0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45"/>
      <c r="U103" s="145"/>
      <c r="V103" s="145"/>
      <c r="W103" s="1"/>
      <c r="X103" s="1"/>
      <c r="Y103" s="1"/>
      <c r="Z103" s="1"/>
      <c r="AA103" s="1"/>
    </row>
    <row r="104" spans="1:27" x14ac:dyDescent="0.25">
      <c r="A104" s="145"/>
      <c r="B104" s="168" t="s">
        <v>664</v>
      </c>
      <c r="C104" s="169">
        <v>0</v>
      </c>
      <c r="D104" s="1"/>
      <c r="E104" s="168" t="s">
        <v>666</v>
      </c>
      <c r="F104" s="181">
        <v>8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45"/>
      <c r="U104" s="145"/>
      <c r="V104" s="145"/>
      <c r="W104" s="1"/>
      <c r="X104" s="1"/>
      <c r="Y104" s="1"/>
      <c r="Z104" s="1"/>
      <c r="AA104" s="1"/>
    </row>
    <row r="105" spans="1:27" x14ac:dyDescent="0.25">
      <c r="A105" s="145"/>
      <c r="B105" s="170" t="s">
        <v>665</v>
      </c>
      <c r="C105" s="171">
        <f>8-SUM(C102:C104)</f>
        <v>8</v>
      </c>
      <c r="D105" s="1"/>
      <c r="E105" s="170" t="s">
        <v>667</v>
      </c>
      <c r="F105" s="181">
        <v>0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45"/>
      <c r="U105" s="145"/>
      <c r="V105" s="145"/>
      <c r="W105" s="1"/>
      <c r="X105" s="1"/>
      <c r="Y105" s="1"/>
      <c r="Z105" s="1"/>
      <c r="AA105" s="1"/>
    </row>
    <row r="106" spans="1:27" x14ac:dyDescent="0.25">
      <c r="A106" s="145"/>
      <c r="B106" s="172" t="s">
        <v>666</v>
      </c>
      <c r="C106" s="173">
        <v>8</v>
      </c>
      <c r="D106" s="1"/>
      <c r="E106" s="176" t="s">
        <v>668</v>
      </c>
      <c r="F106" s="17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45"/>
      <c r="U106" s="145"/>
      <c r="V106" s="145"/>
      <c r="W106" s="1"/>
      <c r="X106" s="1"/>
      <c r="Y106" s="1"/>
      <c r="Z106" s="1"/>
      <c r="AA106" s="1"/>
    </row>
    <row r="107" spans="1:27" x14ac:dyDescent="0.25">
      <c r="A107" s="144"/>
      <c r="B107" s="174" t="s">
        <v>667</v>
      </c>
      <c r="C107" s="175">
        <v>0</v>
      </c>
      <c r="D107" s="1"/>
      <c r="E107" s="170" t="s">
        <v>669</v>
      </c>
      <c r="F107" s="178">
        <f>ДДанные!J$20</f>
        <v>95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45"/>
      <c r="U107" s="145"/>
      <c r="V107" s="145"/>
      <c r="W107" s="1"/>
      <c r="X107" s="1"/>
      <c r="Y107" s="1"/>
      <c r="Z107" s="1"/>
      <c r="AA107" s="1"/>
    </row>
    <row r="108" spans="1:27" x14ac:dyDescent="0.25">
      <c r="A108" s="144"/>
      <c r="B108" s="176" t="s">
        <v>668</v>
      </c>
      <c r="C108" s="177"/>
      <c r="D108" s="1"/>
      <c r="E108" s="168" t="s">
        <v>670</v>
      </c>
      <c r="F108" s="179">
        <f>ДДанные!J$21</f>
        <v>220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45"/>
      <c r="U108" s="145"/>
      <c r="V108" s="145"/>
      <c r="W108" s="1"/>
      <c r="X108" s="1"/>
      <c r="Y108" s="1"/>
      <c r="Z108" s="1"/>
      <c r="AA108" s="1"/>
    </row>
    <row r="109" spans="1:27" x14ac:dyDescent="0.25">
      <c r="A109" s="144"/>
      <c r="B109" s="170" t="s">
        <v>669</v>
      </c>
      <c r="C109" s="182">
        <f>ДДанные!S$8</f>
        <v>103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45"/>
      <c r="U109" s="145"/>
      <c r="V109" s="145"/>
      <c r="W109" s="1"/>
      <c r="X109" s="1"/>
      <c r="Y109" s="1"/>
      <c r="Z109" s="1"/>
      <c r="AA109" s="1"/>
    </row>
    <row r="110" spans="1:27" x14ac:dyDescent="0.25">
      <c r="A110" s="144"/>
      <c r="B110" s="168" t="s">
        <v>670</v>
      </c>
      <c r="C110" s="183">
        <f>ДДанные!S$9</f>
        <v>256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45"/>
      <c r="U110" s="145"/>
      <c r="V110" s="145"/>
      <c r="W110" s="1"/>
      <c r="X110" s="1"/>
      <c r="Y110" s="1"/>
      <c r="Z110" s="1"/>
      <c r="AA110" s="1"/>
    </row>
    <row r="111" spans="1:27" x14ac:dyDescent="0.25">
      <c r="A111" s="144"/>
      <c r="B111" s="14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45"/>
      <c r="U111" s="145"/>
      <c r="V111" s="145"/>
      <c r="W111" s="1"/>
      <c r="X111" s="1"/>
      <c r="Y111" s="1"/>
      <c r="Z111" s="1"/>
      <c r="AA111" s="1"/>
    </row>
    <row r="112" spans="1:27" x14ac:dyDescent="0.25">
      <c r="A112" s="144"/>
      <c r="B112" s="14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45"/>
      <c r="U112" s="145"/>
      <c r="V112" s="145"/>
      <c r="W112" s="1"/>
      <c r="X112" s="1"/>
      <c r="Y112" s="1"/>
      <c r="Z112" s="1"/>
      <c r="AA112" s="1"/>
    </row>
    <row r="113" spans="1:2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45"/>
      <c r="V113" s="145"/>
      <c r="W113" s="1"/>
      <c r="X113" s="1"/>
      <c r="Y113" s="1"/>
      <c r="Z113" s="1"/>
      <c r="AA113" s="1"/>
    </row>
    <row r="114" spans="1:2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45"/>
      <c r="V114" s="145"/>
      <c r="W114" s="1"/>
      <c r="X114" s="1"/>
      <c r="Y114" s="1"/>
      <c r="Z114" s="1"/>
      <c r="AA114" s="1"/>
    </row>
    <row r="115" spans="1:2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45"/>
      <c r="V115" s="145"/>
      <c r="W115" s="1"/>
      <c r="X115" s="1"/>
      <c r="Y115" s="1"/>
      <c r="Z115" s="1"/>
      <c r="AA115" s="1"/>
    </row>
    <row r="116" spans="1:27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45"/>
      <c r="V116" s="145"/>
      <c r="W116" s="1"/>
      <c r="X116" s="1"/>
      <c r="Y116" s="1"/>
      <c r="Z116" s="1"/>
      <c r="AA116" s="1"/>
    </row>
    <row r="117" spans="1:27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45"/>
      <c r="V117" s="145"/>
      <c r="W117" s="1"/>
      <c r="X117" s="1"/>
      <c r="Y117" s="1"/>
      <c r="Z117" s="1"/>
      <c r="AA117" s="1"/>
    </row>
    <row r="118" spans="1:27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45"/>
      <c r="V118" s="145"/>
      <c r="W118" s="1"/>
      <c r="X118" s="1"/>
      <c r="Y118" s="1"/>
      <c r="Z118" s="1"/>
      <c r="AA118" s="1"/>
    </row>
    <row r="119" spans="1:27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45"/>
      <c r="V119" s="145"/>
      <c r="W119" s="1"/>
      <c r="X119" s="1"/>
      <c r="Y119" s="1"/>
      <c r="Z119" s="1"/>
      <c r="AA119" s="1"/>
    </row>
    <row r="120" spans="1:27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45"/>
      <c r="V120" s="145"/>
      <c r="W120" s="1"/>
      <c r="X120" s="1"/>
      <c r="Y120" s="1"/>
      <c r="Z120" s="1"/>
      <c r="AA120" s="1"/>
    </row>
    <row r="121" spans="1:27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45"/>
      <c r="V121" s="145"/>
      <c r="W121" s="1"/>
      <c r="X121" s="1"/>
      <c r="Y121" s="1"/>
      <c r="Z121" s="1"/>
      <c r="AA121" s="1"/>
    </row>
    <row r="122" spans="1:27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7" spans="1:27" x14ac:dyDescent="0.25">
      <c r="B167" t="s">
        <v>678</v>
      </c>
    </row>
    <row r="168" spans="1:27" x14ac:dyDescent="0.25">
      <c r="B168" t="s">
        <v>690</v>
      </c>
      <c r="C168" t="s">
        <v>691</v>
      </c>
    </row>
  </sheetData>
  <sheetProtection password="DF98" sheet="1" objects="1" scenarios="1"/>
  <conditionalFormatting sqref="B3:C5 B8:C8 B14:C16 B19:C19 B25:C27 B30:C30 B36:C38 B41:C41 B47:C49 B52:C52 B58:C60 B63:C63 B69:C71 B74:C74 B80:C82 B85:C85 B91:C93 B96:C96 B102:C104 B107:C107">
    <cfRule type="expression" dxfId="27" priority="28">
      <formula>$C3&gt;0</formula>
    </cfRule>
  </conditionalFormatting>
  <conditionalFormatting sqref="B6:C7 B17:C18 B28:C29 B39:C40 B50:C51 B61:C62 B72:C73 B83:C84 B94:C95 B105:C106">
    <cfRule type="expression" dxfId="26" priority="27">
      <formula>$C6&lt;8</formula>
    </cfRule>
  </conditionalFormatting>
  <conditionalFormatting sqref="E4:F4 E6:F6 E15:F15 E17:F17 E26:F26 E28:F28 E37:F37 E39:F39 E48:F48 E50:F50 E59:F59 E61:F61 E70:F70 E72:F72 E81:F81 E83:F83 E92:F92 E94:F94 E103:F103 E105:F105">
    <cfRule type="expression" dxfId="25" priority="26">
      <formula>$F4&gt;0</formula>
    </cfRule>
  </conditionalFormatting>
  <conditionalFormatting sqref="E3:F3 E5:F5 E14:F14 E16:F16 E25:F25 E27:F27 E36:F36 E38:F38 E47:F47 E49:F49 E58:F58 E60:F60 E69:F69 E71:F71 E80:F80 E82:F82 E91:F91 E93:F93 E102:F102 E104:F104">
    <cfRule type="expression" dxfId="24" priority="25">
      <formula>$F3&lt;8</formula>
    </cfRule>
  </conditionalFormatting>
  <conditionalFormatting sqref="B8:C8 B19:C19 B30:C30 B41:C41 B52:C52 B63:C63 B74:C74 B85:C85 B96:C96 B107:C107">
    <cfRule type="expression" dxfId="23" priority="24">
      <formula>$C8*2&gt;$C7</formula>
    </cfRule>
  </conditionalFormatting>
  <conditionalFormatting sqref="C2 C13 C24 C35 C46 C57 C68 C79 C90 C101">
    <cfRule type="expression" dxfId="22" priority="23">
      <formula>2*$C8&gt;$C7</formula>
    </cfRule>
  </conditionalFormatting>
  <conditionalFormatting sqref="E6:F6 E17:F17 E28:F28 E39:F39 E50:F50 E61:F61 E72:F72 E83:F83 E94:F94 E105:F105">
    <cfRule type="expression" dxfId="21" priority="12">
      <formula>2*$F6&gt;$F5</formula>
    </cfRule>
  </conditionalFormatting>
  <conditionalFormatting sqref="F2 F13 F24 F35 F46 F57 F68 F79 F90 F101">
    <cfRule type="expression" dxfId="20" priority="11">
      <formula>2*$F6&gt;$F5</formula>
    </cfRule>
  </conditionalFormatting>
  <dataValidations count="7">
    <dataValidation type="whole" allowBlank="1" showInputMessage="1" showErrorMessage="1" error="Может быть использовано от нуля до 8 шлейфов" sqref="C18 C73 C29 C40 C51 C62 C7 C84 C95 C106">
      <formula1>0</formula1>
      <formula2>8</formula2>
    </dataValidation>
    <dataValidation type="whole" allowBlank="1" showInputMessage="1" showErrorMessage="1" error="Введите количество нормально замкнутых шлейфов, от 0 до 8" sqref="F59:F60 F48:F49 F4:F5 F15:F16 F26:F27 F37:F38 F70:F71 F81:F82 F92:F93 F103:F104">
      <formula1>0</formula1>
      <formula2>8</formula2>
    </dataValidation>
    <dataValidation allowBlank="1" showInputMessage="1" showErrorMessage="1" error="Количество шлейфов одного модуля не должно превышать 8" sqref="F58 F3 F14 F25 F36 F47 F69 F80 F91 F102"/>
    <dataValidation type="whole" allowBlank="1" showInputMessage="1" showErrorMessage="1" error="Общее количество шлейфов не должно превышать 8" sqref="C3 C102 C91 C80 C69 C58 C47 C36 C25 C14">
      <formula1>0</formula1>
      <formula2>8-C4-C5</formula2>
    </dataValidation>
    <dataValidation type="whole" allowBlank="1" showInputMessage="1" showErrorMessage="1" error="Общее количество шлейфов не должно превышать 8" sqref="C4 C103 C92 C81 C70 C59 C48 C37 C26 C15">
      <formula1>0</formula1>
      <formula2>8-C3-C5</formula2>
    </dataValidation>
    <dataValidation type="whole" allowBlank="1" showInputMessage="1" showErrorMessage="1" error="Общее количество шлейфов не должно превышать 8" sqref="C5 C104 C93 C82 C71 C60 C49 C38 C27 C16">
      <formula1>0</formula1>
      <formula2>8-C3-C4</formula2>
    </dataValidation>
    <dataValidation type="whole" allowBlank="1" showInputMessage="1" showErrorMessage="1" error="Максимальное количество двупарных кабелей - в два раза меньше количества используемых шлейфов." sqref="C107 C74 C8 C19 C30 C52 C85 C96 F6 F17 F28 F39 F50 F61 F105 C41 C63 F94 F83 F72">
      <formula1>0</formula1>
      <formula2>C5/2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04" id="{44F3C31D-9732-4D8B-89CD-7DAF5FA4E3CE}">
            <xm:f>NOT(ДДанные!$J$10)</xm:f>
            <x14:dxf>
              <fill>
                <patternFill>
                  <bgColor rgb="FFFF000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expression" priority="1205" id="{4DCE3333-D800-499E-A9FE-EBC512A8D8B5}">
            <xm:f>NOT(ДДанные!$K$10)</xm:f>
            <x14:dxf>
              <fill>
                <patternFill>
                  <bgColor rgb="FFFF0000"/>
                </patternFill>
              </fill>
            </x14:dxf>
          </x14:cfRule>
          <xm:sqref>C13</xm:sqref>
        </x14:conditionalFormatting>
        <x14:conditionalFormatting xmlns:xm="http://schemas.microsoft.com/office/excel/2006/main">
          <x14:cfRule type="expression" priority="1206" id="{477ABBEE-3E0C-4836-9354-EAA8A3F85ABB}">
            <xm:f>NOT(ДДанные!$L$10)</xm:f>
            <x14:dxf>
              <fill>
                <patternFill>
                  <bgColor rgb="FFFF0000"/>
                </patternFill>
              </fill>
            </x14:dxf>
          </x14:cfRule>
          <xm:sqref>C24</xm:sqref>
        </x14:conditionalFormatting>
        <x14:conditionalFormatting xmlns:xm="http://schemas.microsoft.com/office/excel/2006/main">
          <x14:cfRule type="expression" priority="1207" id="{04FA9587-0DD5-4099-9C8E-2587C57F6ED5}">
            <xm:f>NOT(ДДанные!$M$10)</xm:f>
            <x14:dxf>
              <fill>
                <patternFill>
                  <bgColor rgb="FFFF00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expression" priority="1208" id="{27EC3144-B924-4EBA-B1B4-648CD76DD20F}">
            <xm:f>NOT(ДДанные!$N$10)</xm:f>
            <x14:dxf>
              <fill>
                <patternFill>
                  <bgColor rgb="FFFF0000"/>
                </patternFill>
              </fill>
            </x14:dxf>
          </x14:cfRule>
          <xm:sqref>C46</xm:sqref>
        </x14:conditionalFormatting>
        <x14:conditionalFormatting xmlns:xm="http://schemas.microsoft.com/office/excel/2006/main">
          <x14:cfRule type="expression" priority="1209" id="{45392E7D-75D6-48CC-9710-DB1C44B7CBB1}">
            <xm:f>NOT(ДДанные!$O$10)</xm:f>
            <x14:dxf>
              <fill>
                <patternFill>
                  <bgColor rgb="FFFF0000"/>
                </patternFill>
              </fill>
            </x14:dxf>
          </x14:cfRule>
          <xm:sqref>C57</xm:sqref>
        </x14:conditionalFormatting>
        <x14:conditionalFormatting xmlns:xm="http://schemas.microsoft.com/office/excel/2006/main">
          <x14:cfRule type="expression" priority="1210" id="{8FA46EDF-FC5C-49F1-BDEF-8A4ACB022BAD}">
            <xm:f>NOT(ДДанные!$P$10)</xm:f>
            <x14:dxf>
              <fill>
                <patternFill>
                  <bgColor rgb="FFFF0000"/>
                </patternFill>
              </fill>
            </x14:dxf>
          </x14:cfRule>
          <xm:sqref>C68</xm:sqref>
        </x14:conditionalFormatting>
        <x14:conditionalFormatting xmlns:xm="http://schemas.microsoft.com/office/excel/2006/main">
          <x14:cfRule type="expression" priority="1211" id="{6633685F-24FD-4510-8C4E-287455100F3C}">
            <xm:f>NOT(ДДанные!$Q$10)</xm:f>
            <x14:dxf>
              <fill>
                <patternFill>
                  <bgColor rgb="FFFF0000"/>
                </patternFill>
              </fill>
            </x14:dxf>
          </x14:cfRule>
          <xm:sqref>C79</xm:sqref>
        </x14:conditionalFormatting>
        <x14:conditionalFormatting xmlns:xm="http://schemas.microsoft.com/office/excel/2006/main">
          <x14:cfRule type="expression" priority="1212" id="{532917B5-AB6B-48F7-884C-04DBEFF0DD31}">
            <xm:f>NOT(ДДанные!$R$10)</xm:f>
            <x14:dxf>
              <fill>
                <patternFill>
                  <bgColor rgb="FFFF0000"/>
                </patternFill>
              </fill>
            </x14:dxf>
          </x14:cfRule>
          <xm:sqref>C90</xm:sqref>
        </x14:conditionalFormatting>
        <x14:conditionalFormatting xmlns:xm="http://schemas.microsoft.com/office/excel/2006/main">
          <x14:cfRule type="expression" priority="1213" id="{F0A06338-F08F-4024-BFD8-109766028B75}">
            <xm:f>NOT(ДДанные!$S$10)</xm:f>
            <x14:dxf>
              <fill>
                <patternFill>
                  <bgColor rgb="FFFF0000"/>
                </patternFill>
              </fill>
            </x14:dxf>
          </x14:cfRule>
          <xm:sqref>C101</xm:sqref>
        </x14:conditionalFormatting>
        <x14:conditionalFormatting xmlns:xm="http://schemas.microsoft.com/office/excel/2006/main">
          <x14:cfRule type="expression" priority="1234" id="{34B7BB0C-C5F5-4C28-9958-27327EBD5461}">
            <xm:f>NOT(ДДанные!$J$22)</xm:f>
            <x14:dxf>
              <fill>
                <patternFill>
                  <bgColor rgb="FFFF0000"/>
                </patternFill>
              </fill>
            </x14:dxf>
          </x14:cfRule>
          <xm:sqref>F2</xm:sqref>
        </x14:conditionalFormatting>
        <x14:conditionalFormatting xmlns:xm="http://schemas.microsoft.com/office/excel/2006/main">
          <x14:cfRule type="expression" priority="1235" id="{E3515549-A3EB-46F2-B7C1-1C321DC9D0BF}">
            <xm:f>NOT(ДДанные!$K$22)</xm:f>
            <x14:dxf>
              <fill>
                <patternFill>
                  <bgColor rgb="FFFF0000"/>
                </patternFill>
              </fill>
            </x14:dxf>
          </x14:cfRule>
          <xm:sqref>F13</xm:sqref>
        </x14:conditionalFormatting>
        <x14:conditionalFormatting xmlns:xm="http://schemas.microsoft.com/office/excel/2006/main">
          <x14:cfRule type="expression" priority="1236" id="{8190491C-71C0-4EFD-A1C4-57F77C894E6F}">
            <xm:f>NOT(ДДанные!$L$22)</xm:f>
            <x14:dxf>
              <fill>
                <patternFill>
                  <bgColor rgb="FFFF0000"/>
                </patternFill>
              </fill>
            </x14:dxf>
          </x14:cfRule>
          <xm:sqref>F24</xm:sqref>
        </x14:conditionalFormatting>
        <x14:conditionalFormatting xmlns:xm="http://schemas.microsoft.com/office/excel/2006/main">
          <x14:cfRule type="expression" priority="1237" id="{A7F52521-C6EF-4078-8314-4B3390918C73}">
            <xm:f>NOT(ДДанные!$M$22)</xm:f>
            <x14:dxf>
              <fill>
                <patternFill>
                  <bgColor rgb="FFFF0000"/>
                </patternFill>
              </fill>
            </x14:dxf>
          </x14:cfRule>
          <xm:sqref>F35</xm:sqref>
        </x14:conditionalFormatting>
        <x14:conditionalFormatting xmlns:xm="http://schemas.microsoft.com/office/excel/2006/main">
          <x14:cfRule type="expression" priority="1238" id="{A4019A53-CECF-4A30-B8E3-0DD9065FA6E0}">
            <xm:f>NOT(ДДанные!$N$22)</xm:f>
            <x14:dxf>
              <fill>
                <patternFill>
                  <bgColor rgb="FFFF0000"/>
                </patternFill>
              </fill>
            </x14:dxf>
          </x14:cfRule>
          <xm:sqref>F46</xm:sqref>
        </x14:conditionalFormatting>
        <x14:conditionalFormatting xmlns:xm="http://schemas.microsoft.com/office/excel/2006/main">
          <x14:cfRule type="expression" priority="1239" id="{47C06A52-787B-41A2-B60B-3E0D35E0E0CD}">
            <xm:f>NOT(ДДанные!$O$22)</xm:f>
            <x14:dxf>
              <fill>
                <patternFill>
                  <bgColor rgb="FFFF0000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1240" id="{C0F0FE94-759A-4476-B095-99D650AC80F1}">
            <xm:f>NOT(ДДанные!$P$22)</xm:f>
            <x14:dxf>
              <fill>
                <patternFill>
                  <bgColor rgb="FFFF0000"/>
                </patternFill>
              </fill>
            </x14:dxf>
          </x14:cfRule>
          <xm:sqref>F68</xm:sqref>
        </x14:conditionalFormatting>
        <x14:conditionalFormatting xmlns:xm="http://schemas.microsoft.com/office/excel/2006/main">
          <x14:cfRule type="expression" priority="1241" id="{1462C751-09E6-4D90-8A11-E1C51F7B1F73}">
            <xm:f>NOT(ДДанные!$Q$22)</xm:f>
            <x14:dxf>
              <fill>
                <patternFill>
                  <bgColor rgb="FFFF0000"/>
                </patternFill>
              </fill>
            </x14:dxf>
          </x14:cfRule>
          <xm:sqref>F79</xm:sqref>
        </x14:conditionalFormatting>
        <x14:conditionalFormatting xmlns:xm="http://schemas.microsoft.com/office/excel/2006/main">
          <x14:cfRule type="expression" priority="1242" id="{6DB11C6C-22B3-491D-B47C-AD7768048E08}">
            <xm:f>NOT(ДДанные!$R$22)</xm:f>
            <x14:dxf>
              <fill>
                <patternFill>
                  <bgColor rgb="FFFF0000"/>
                </patternFill>
              </fill>
            </x14:dxf>
          </x14:cfRule>
          <xm:sqref>F90</xm:sqref>
        </x14:conditionalFormatting>
        <x14:conditionalFormatting xmlns:xm="http://schemas.microsoft.com/office/excel/2006/main">
          <x14:cfRule type="expression" priority="1243" id="{63FC8A65-8C0A-4966-9313-69835642D6C7}">
            <xm:f>NOT(ДДанные!$S$22)</xm:f>
            <x14:dxf>
              <fill>
                <patternFill>
                  <bgColor rgb="FFFF0000"/>
                </patternFill>
              </fill>
            </x14:dxf>
          </x14:cfRule>
          <xm:sqref>F101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workbookViewId="0">
      <selection activeCell="T14" sqref="T14"/>
    </sheetView>
  </sheetViews>
  <sheetFormatPr defaultRowHeight="15" x14ac:dyDescent="0.25"/>
  <cols>
    <col min="2" max="2" width="24.140625" customWidth="1"/>
  </cols>
  <sheetData>
    <row r="1" spans="1:22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</row>
    <row r="2" spans="1:22" x14ac:dyDescent="0.25">
      <c r="A2" s="129"/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8"/>
      <c r="U2" s="49"/>
      <c r="V2" s="49"/>
    </row>
    <row r="3" spans="1:22" x14ac:dyDescent="0.25">
      <c r="A3" s="129"/>
      <c r="B3" s="188"/>
      <c r="C3" s="189"/>
      <c r="D3" s="190" t="s">
        <v>704</v>
      </c>
      <c r="E3" s="190" t="s">
        <v>705</v>
      </c>
      <c r="F3" s="190" t="s">
        <v>706</v>
      </c>
      <c r="G3" s="191" t="s">
        <v>707</v>
      </c>
      <c r="H3" s="191" t="s">
        <v>708</v>
      </c>
      <c r="I3" s="189"/>
      <c r="J3" s="190">
        <v>1</v>
      </c>
      <c r="K3" s="190">
        <v>2</v>
      </c>
      <c r="L3" s="190">
        <v>3</v>
      </c>
      <c r="M3" s="190">
        <v>4</v>
      </c>
      <c r="N3" s="190">
        <v>5</v>
      </c>
      <c r="O3" s="190">
        <v>6</v>
      </c>
      <c r="P3" s="190">
        <v>7</v>
      </c>
      <c r="Q3" s="190">
        <v>8</v>
      </c>
      <c r="R3" s="190">
        <v>9</v>
      </c>
      <c r="S3" s="190">
        <v>10</v>
      </c>
      <c r="T3" s="192" t="s">
        <v>696</v>
      </c>
      <c r="U3" s="49"/>
      <c r="V3" s="49"/>
    </row>
    <row r="4" spans="1:22" x14ac:dyDescent="0.25">
      <c r="A4" s="129"/>
      <c r="B4" s="193"/>
      <c r="C4" s="190" t="s">
        <v>548</v>
      </c>
      <c r="D4" s="190">
        <v>28</v>
      </c>
      <c r="E4" s="190">
        <v>37</v>
      </c>
      <c r="F4" s="190">
        <v>28</v>
      </c>
      <c r="G4" s="190">
        <f>(E4-D4)/8</f>
        <v>1.125</v>
      </c>
      <c r="H4" s="190">
        <f>(F4-D4)/8</f>
        <v>0</v>
      </c>
      <c r="I4" s="189"/>
      <c r="J4" s="190">
        <f>'6. Неадресные модули'!C3</f>
        <v>0</v>
      </c>
      <c r="K4" s="190">
        <f>'6. Неадресные модули'!C14</f>
        <v>0</v>
      </c>
      <c r="L4" s="190">
        <f>'6. Неадресные модули'!C25</f>
        <v>0</v>
      </c>
      <c r="M4" s="190">
        <f>'6. Неадресные модули'!C36</f>
        <v>0</v>
      </c>
      <c r="N4" s="190">
        <f>'6. Неадресные модули'!C47</f>
        <v>0</v>
      </c>
      <c r="O4" s="190">
        <f>'6. Неадресные модули'!C58</f>
        <v>0</v>
      </c>
      <c r="P4" s="190">
        <f>'6. Неадресные модули'!C69</f>
        <v>0</v>
      </c>
      <c r="Q4" s="190">
        <f>'6. Неадресные модули'!C80</f>
        <v>0</v>
      </c>
      <c r="R4" s="190">
        <f>'6. Неадресные модули'!C91</f>
        <v>0</v>
      </c>
      <c r="S4" s="190">
        <f>'6. Неадресные модули'!C102</f>
        <v>0</v>
      </c>
      <c r="T4" s="194"/>
      <c r="U4" s="49"/>
      <c r="V4" s="49"/>
    </row>
    <row r="5" spans="1:22" x14ac:dyDescent="0.25">
      <c r="A5" s="129"/>
      <c r="B5" s="188"/>
      <c r="C5" s="190" t="s">
        <v>692</v>
      </c>
      <c r="D5" s="190">
        <v>28</v>
      </c>
      <c r="E5" s="190">
        <v>42</v>
      </c>
      <c r="F5" s="190">
        <v>33</v>
      </c>
      <c r="G5" s="190">
        <f>(E5-D5)/8</f>
        <v>1.75</v>
      </c>
      <c r="H5" s="190">
        <f>(F5-D5)/8</f>
        <v>0.625</v>
      </c>
      <c r="I5" s="189"/>
      <c r="J5" s="190">
        <f>'6. Неадресные модули'!C4</f>
        <v>0</v>
      </c>
      <c r="K5" s="190">
        <f>'6. Неадресные модули'!C15</f>
        <v>0</v>
      </c>
      <c r="L5" s="190">
        <f>'6. Неадресные модули'!C26</f>
        <v>0</v>
      </c>
      <c r="M5" s="190">
        <f>'6. Неадресные модули'!C37</f>
        <v>0</v>
      </c>
      <c r="N5" s="190">
        <f>'6. Неадресные модули'!C48</f>
        <v>0</v>
      </c>
      <c r="O5" s="190">
        <f>'6. Неадресные модули'!C59</f>
        <v>0</v>
      </c>
      <c r="P5" s="190">
        <f>'6. Неадресные модули'!C70</f>
        <v>0</v>
      </c>
      <c r="Q5" s="190">
        <f>'6. Неадресные модули'!C81</f>
        <v>0</v>
      </c>
      <c r="R5" s="190">
        <f>'6. Неадресные модули'!C92</f>
        <v>0</v>
      </c>
      <c r="S5" s="190">
        <f>'6. Неадресные модули'!C103</f>
        <v>0</v>
      </c>
      <c r="T5" s="195"/>
      <c r="U5" s="49"/>
      <c r="V5" s="49"/>
    </row>
    <row r="6" spans="1:22" x14ac:dyDescent="0.25">
      <c r="A6" s="129"/>
      <c r="B6" s="188"/>
      <c r="C6" s="190" t="s">
        <v>677</v>
      </c>
      <c r="D6" s="190">
        <v>28</v>
      </c>
      <c r="E6" s="190">
        <v>32</v>
      </c>
      <c r="F6" s="190">
        <v>44</v>
      </c>
      <c r="G6" s="190">
        <f>(E6-D6)/8</f>
        <v>0.5</v>
      </c>
      <c r="H6" s="190">
        <f>(F6-D6)/8</f>
        <v>2</v>
      </c>
      <c r="I6" s="189"/>
      <c r="J6" s="190">
        <f>'6. Неадресные модули'!C5</f>
        <v>0</v>
      </c>
      <c r="K6" s="190">
        <f>'6. Неадресные модули'!C16</f>
        <v>0</v>
      </c>
      <c r="L6" s="190">
        <f>'6. Неадресные модули'!C27</f>
        <v>0</v>
      </c>
      <c r="M6" s="190">
        <f>'6. Неадресные модули'!C38</f>
        <v>0</v>
      </c>
      <c r="N6" s="190">
        <f>'6. Неадресные модули'!C49</f>
        <v>0</v>
      </c>
      <c r="O6" s="190">
        <f>'6. Неадресные модули'!C60</f>
        <v>0</v>
      </c>
      <c r="P6" s="190">
        <f>'6. Неадресные модули'!C71</f>
        <v>0</v>
      </c>
      <c r="Q6" s="190">
        <f>'6. Неадресные модули'!C82</f>
        <v>0</v>
      </c>
      <c r="R6" s="190">
        <f>'6. Неадресные модули'!C93</f>
        <v>0</v>
      </c>
      <c r="S6" s="190">
        <f>'6. Неадресные модули'!C104</f>
        <v>0</v>
      </c>
      <c r="T6" s="195"/>
      <c r="U6" s="49"/>
      <c r="V6" s="49"/>
    </row>
    <row r="7" spans="1:22" x14ac:dyDescent="0.25">
      <c r="A7" s="129"/>
      <c r="B7" s="129"/>
      <c r="C7" s="190" t="s">
        <v>552</v>
      </c>
      <c r="D7" s="190">
        <v>28</v>
      </c>
      <c r="E7" s="190">
        <v>103</v>
      </c>
      <c r="F7" s="190">
        <v>256</v>
      </c>
      <c r="G7" s="190">
        <f>(E7-D7)/8</f>
        <v>9.375</v>
      </c>
      <c r="H7" s="190">
        <f>(F7-D7)/8</f>
        <v>28.5</v>
      </c>
      <c r="I7" s="189"/>
      <c r="J7" s="190">
        <f>'6. Неадресные модули'!C6</f>
        <v>8</v>
      </c>
      <c r="K7" s="190">
        <f>'6. Неадресные модули'!C17</f>
        <v>8</v>
      </c>
      <c r="L7" s="190">
        <f>'6. Неадресные модули'!C28</f>
        <v>8</v>
      </c>
      <c r="M7" s="190">
        <f>'6. Неадресные модули'!C39</f>
        <v>8</v>
      </c>
      <c r="N7" s="190">
        <f>'6. Неадресные модули'!C50</f>
        <v>8</v>
      </c>
      <c r="O7" s="190">
        <f>'6. Неадресные модули'!C61</f>
        <v>8</v>
      </c>
      <c r="P7" s="190">
        <f>'6. Неадресные модули'!C72</f>
        <v>8</v>
      </c>
      <c r="Q7" s="190">
        <f>'6. Неадресные модули'!C83</f>
        <v>8</v>
      </c>
      <c r="R7" s="190">
        <f>'6. Неадресные модули'!C94</f>
        <v>8</v>
      </c>
      <c r="S7" s="190">
        <f>'6. Неадресные модули'!C105</f>
        <v>8</v>
      </c>
      <c r="T7" s="196"/>
      <c r="U7" s="49"/>
      <c r="V7" s="49"/>
    </row>
    <row r="8" spans="1:22" x14ac:dyDescent="0.25">
      <c r="A8" s="129"/>
      <c r="B8" s="49"/>
      <c r="C8" s="189"/>
      <c r="D8" s="189"/>
      <c r="E8" s="189"/>
      <c r="F8" s="189"/>
      <c r="G8" s="189"/>
      <c r="H8" s="188"/>
      <c r="I8" s="188"/>
      <c r="J8" s="192">
        <f t="shared" ref="J8:S8" si="0">J4*$G4+J5*$G5+J6*$G6+J7*$G7+$D4</f>
        <v>103</v>
      </c>
      <c r="K8" s="192">
        <f t="shared" si="0"/>
        <v>103</v>
      </c>
      <c r="L8" s="192">
        <f t="shared" si="0"/>
        <v>103</v>
      </c>
      <c r="M8" s="192">
        <f t="shared" si="0"/>
        <v>103</v>
      </c>
      <c r="N8" s="192">
        <f t="shared" si="0"/>
        <v>103</v>
      </c>
      <c r="O8" s="192">
        <f t="shared" si="0"/>
        <v>103</v>
      </c>
      <c r="P8" s="192">
        <f t="shared" si="0"/>
        <v>103</v>
      </c>
      <c r="Q8" s="192">
        <f t="shared" si="0"/>
        <v>103</v>
      </c>
      <c r="R8" s="192">
        <f t="shared" si="0"/>
        <v>103</v>
      </c>
      <c r="S8" s="192">
        <f t="shared" si="0"/>
        <v>103</v>
      </c>
      <c r="T8" s="192">
        <f>SUM(J8*J$10,K8*K$10,L8*L$10,M8*M$10,N8*N$10,O8*O$10,P8*P$10,Q8*Q$10,R8*R$10,S8*S$10)</f>
        <v>0</v>
      </c>
      <c r="U8" s="49"/>
      <c r="V8" s="49"/>
    </row>
    <row r="9" spans="1:22" x14ac:dyDescent="0.25">
      <c r="A9" s="129"/>
      <c r="B9" s="49"/>
      <c r="C9" s="189"/>
      <c r="D9" s="189"/>
      <c r="E9" s="189"/>
      <c r="F9" s="189"/>
      <c r="G9" s="189"/>
      <c r="H9" s="197"/>
      <c r="I9" s="188"/>
      <c r="J9" s="192">
        <f t="shared" ref="J9:S9" si="1">J4*$H4+J5*$H5+J6*$H6+J7*$H7+$D4</f>
        <v>256</v>
      </c>
      <c r="K9" s="192">
        <f t="shared" si="1"/>
        <v>256</v>
      </c>
      <c r="L9" s="192">
        <f t="shared" si="1"/>
        <v>256</v>
      </c>
      <c r="M9" s="192">
        <f t="shared" si="1"/>
        <v>256</v>
      </c>
      <c r="N9" s="192">
        <f t="shared" si="1"/>
        <v>256</v>
      </c>
      <c r="O9" s="192">
        <f t="shared" si="1"/>
        <v>256</v>
      </c>
      <c r="P9" s="192">
        <f t="shared" si="1"/>
        <v>256</v>
      </c>
      <c r="Q9" s="192">
        <f t="shared" si="1"/>
        <v>256</v>
      </c>
      <c r="R9" s="192">
        <f t="shared" si="1"/>
        <v>256</v>
      </c>
      <c r="S9" s="192">
        <f t="shared" si="1"/>
        <v>256</v>
      </c>
      <c r="T9" s="192">
        <f>SUM(J9*J$10,K9*K$10,L9*L$10,M9*M$10,N9*N$10,O9*O$10,P9*P$10,Q9*Q$10,R9*R$10,S9*S$10)</f>
        <v>0</v>
      </c>
      <c r="U9" s="49"/>
      <c r="V9" s="49"/>
    </row>
    <row r="10" spans="1:22" x14ac:dyDescent="0.25">
      <c r="A10" s="129"/>
      <c r="B10" s="49"/>
      <c r="C10" s="189"/>
      <c r="D10" s="189"/>
      <c r="E10" s="189"/>
      <c r="F10" s="189"/>
      <c r="G10" s="189"/>
      <c r="H10" s="189"/>
      <c r="I10" s="190" t="s">
        <v>697</v>
      </c>
      <c r="J10" s="190" t="b">
        <f t="shared" ref="J10:S10" si="2">$C29-J3&gt;=0</f>
        <v>0</v>
      </c>
      <c r="K10" s="190" t="b">
        <f t="shared" si="2"/>
        <v>0</v>
      </c>
      <c r="L10" s="190" t="b">
        <f t="shared" si="2"/>
        <v>0</v>
      </c>
      <c r="M10" s="190" t="b">
        <f t="shared" si="2"/>
        <v>0</v>
      </c>
      <c r="N10" s="190" t="b">
        <f t="shared" si="2"/>
        <v>0</v>
      </c>
      <c r="O10" s="190" t="b">
        <f t="shared" si="2"/>
        <v>0</v>
      </c>
      <c r="P10" s="190" t="b">
        <f t="shared" si="2"/>
        <v>0</v>
      </c>
      <c r="Q10" s="190" t="b">
        <f t="shared" si="2"/>
        <v>0</v>
      </c>
      <c r="R10" s="190" t="b">
        <f t="shared" si="2"/>
        <v>0</v>
      </c>
      <c r="S10" s="190" t="b">
        <f t="shared" si="2"/>
        <v>0</v>
      </c>
      <c r="T10" s="194"/>
      <c r="U10" s="49"/>
      <c r="V10" s="49"/>
    </row>
    <row r="11" spans="1:22" x14ac:dyDescent="0.25">
      <c r="A11" s="49"/>
      <c r="B11" s="49"/>
      <c r="C11" s="189"/>
      <c r="D11" s="189"/>
      <c r="E11" s="189"/>
      <c r="F11" s="189"/>
      <c r="G11" s="189"/>
      <c r="H11" s="189"/>
      <c r="I11" s="190" t="s">
        <v>699</v>
      </c>
      <c r="J11" s="190">
        <f>'6. Неадресные модули'!$C7</f>
        <v>8</v>
      </c>
      <c r="K11" s="190">
        <f>'6. Неадресные модули'!$C18</f>
        <v>8</v>
      </c>
      <c r="L11" s="190">
        <f>'6. Неадресные модули'!$C29</f>
        <v>8</v>
      </c>
      <c r="M11" s="190">
        <f>'6. Неадресные модули'!$C40</f>
        <v>8</v>
      </c>
      <c r="N11" s="190">
        <f>'6. Неадресные модули'!$C51</f>
        <v>8</v>
      </c>
      <c r="O11" s="190">
        <f>'6. Неадресные модули'!$C62</f>
        <v>8</v>
      </c>
      <c r="P11" s="190">
        <f>'6. Неадресные модули'!$C73</f>
        <v>8</v>
      </c>
      <c r="Q11" s="190">
        <f>'6. Неадресные модули'!$C84</f>
        <v>8</v>
      </c>
      <c r="R11" s="190">
        <f>'6. Неадресные модули'!$C95</f>
        <v>8</v>
      </c>
      <c r="S11" s="190">
        <f>'6. Неадресные модули'!$C106</f>
        <v>8</v>
      </c>
      <c r="T11" s="198"/>
      <c r="U11" s="49"/>
      <c r="V11" s="49"/>
    </row>
    <row r="12" spans="1:22" x14ac:dyDescent="0.25">
      <c r="A12" s="49"/>
      <c r="B12" s="49"/>
      <c r="C12" s="49"/>
      <c r="D12" s="49"/>
      <c r="E12" s="49"/>
      <c r="F12" s="49"/>
      <c r="G12" s="49"/>
      <c r="H12" s="49"/>
      <c r="I12" s="199" t="s">
        <v>700</v>
      </c>
      <c r="J12" s="199">
        <f>'6. Неадресные модули'!$C8</f>
        <v>0</v>
      </c>
      <c r="K12" s="199">
        <f>'6. Неадресные модули'!$C19</f>
        <v>0</v>
      </c>
      <c r="L12" s="199">
        <f>'6. Неадресные модули'!$C30</f>
        <v>0</v>
      </c>
      <c r="M12" s="199">
        <f>'6. Неадресные модули'!$C41</f>
        <v>0</v>
      </c>
      <c r="N12" s="199">
        <f>'6. Неадресные модули'!$C52</f>
        <v>0</v>
      </c>
      <c r="O12" s="199">
        <f>'6. Неадресные модули'!$C63</f>
        <v>0</v>
      </c>
      <c r="P12" s="199">
        <f>'6. Неадресные модули'!$C74</f>
        <v>0</v>
      </c>
      <c r="Q12" s="199">
        <f>'6. Неадресные модули'!$C85</f>
        <v>0</v>
      </c>
      <c r="R12" s="199">
        <f>'6. Неадресные модули'!$C96</f>
        <v>0</v>
      </c>
      <c r="S12" s="199">
        <f>'6. Неадресные модули'!$C107</f>
        <v>0</v>
      </c>
      <c r="T12" s="200"/>
      <c r="U12" s="49"/>
      <c r="V12" s="49"/>
    </row>
    <row r="13" spans="1:22" x14ac:dyDescent="0.25">
      <c r="A13" s="49"/>
      <c r="B13" s="49"/>
      <c r="C13" s="49"/>
      <c r="D13" s="49"/>
      <c r="E13" s="49"/>
      <c r="F13" s="49"/>
      <c r="G13" s="49"/>
      <c r="H13" s="49"/>
      <c r="I13" s="190" t="s">
        <v>701</v>
      </c>
      <c r="J13" s="190">
        <f>J10*IF(2*J12&gt;J11,CEILING(J11/2,1),(J11-J12))</f>
        <v>0</v>
      </c>
      <c r="K13" s="190">
        <f t="shared" ref="K13:S13" si="3">K10*(K11-K12)</f>
        <v>0</v>
      </c>
      <c r="L13" s="190">
        <f t="shared" si="3"/>
        <v>0</v>
      </c>
      <c r="M13" s="190">
        <f t="shared" si="3"/>
        <v>0</v>
      </c>
      <c r="N13" s="190">
        <f t="shared" si="3"/>
        <v>0</v>
      </c>
      <c r="O13" s="190">
        <f t="shared" si="3"/>
        <v>0</v>
      </c>
      <c r="P13" s="190">
        <f t="shared" si="3"/>
        <v>0</v>
      </c>
      <c r="Q13" s="190">
        <f t="shared" si="3"/>
        <v>0</v>
      </c>
      <c r="R13" s="190">
        <f t="shared" si="3"/>
        <v>0</v>
      </c>
      <c r="S13" s="190">
        <f t="shared" si="3"/>
        <v>0</v>
      </c>
      <c r="T13" s="190">
        <f>SUM(J13:S13)</f>
        <v>0</v>
      </c>
      <c r="U13" s="49"/>
      <c r="V13" s="49"/>
    </row>
    <row r="14" spans="1:22" x14ac:dyDescent="0.25">
      <c r="A14" s="49"/>
      <c r="B14" s="188"/>
      <c r="C14" s="188"/>
      <c r="D14" s="188"/>
      <c r="E14" s="188"/>
      <c r="F14" s="188"/>
      <c r="G14" s="188"/>
      <c r="H14" s="189"/>
      <c r="I14" s="192" t="s">
        <v>712</v>
      </c>
      <c r="J14" s="192">
        <f t="shared" ref="J14:S14" si="4">J11*J10</f>
        <v>0</v>
      </c>
      <c r="K14" s="192">
        <f t="shared" si="4"/>
        <v>0</v>
      </c>
      <c r="L14" s="192">
        <f t="shared" si="4"/>
        <v>0</v>
      </c>
      <c r="M14" s="192">
        <f t="shared" si="4"/>
        <v>0</v>
      </c>
      <c r="N14" s="192">
        <f t="shared" si="4"/>
        <v>0</v>
      </c>
      <c r="O14" s="192">
        <f t="shared" si="4"/>
        <v>0</v>
      </c>
      <c r="P14" s="192">
        <f t="shared" si="4"/>
        <v>0</v>
      </c>
      <c r="Q14" s="192">
        <f t="shared" si="4"/>
        <v>0</v>
      </c>
      <c r="R14" s="192">
        <f t="shared" si="4"/>
        <v>0</v>
      </c>
      <c r="S14" s="192">
        <f t="shared" si="4"/>
        <v>0</v>
      </c>
      <c r="T14" s="190">
        <f>SUM(J14:S14)</f>
        <v>0</v>
      </c>
      <c r="U14" s="49"/>
      <c r="V14" s="49"/>
    </row>
    <row r="15" spans="1:22" x14ac:dyDescent="0.25">
      <c r="A15" s="49"/>
      <c r="B15" s="188"/>
      <c r="C15" s="197"/>
      <c r="D15" s="188"/>
      <c r="E15" s="188"/>
      <c r="F15" s="188"/>
      <c r="G15" s="188"/>
      <c r="H15" s="189"/>
      <c r="I15" s="192" t="s">
        <v>717</v>
      </c>
      <c r="J15" s="192" t="b">
        <f t="shared" ref="J15:S15" si="5">AND(2*J12&lt;=J11,J10)</f>
        <v>0</v>
      </c>
      <c r="K15" s="192" t="b">
        <f t="shared" si="5"/>
        <v>0</v>
      </c>
      <c r="L15" s="192" t="b">
        <f t="shared" si="5"/>
        <v>0</v>
      </c>
      <c r="M15" s="192" t="b">
        <f t="shared" si="5"/>
        <v>0</v>
      </c>
      <c r="N15" s="192" t="b">
        <f t="shared" si="5"/>
        <v>0</v>
      </c>
      <c r="O15" s="192" t="b">
        <f t="shared" si="5"/>
        <v>0</v>
      </c>
      <c r="P15" s="192" t="b">
        <f t="shared" si="5"/>
        <v>0</v>
      </c>
      <c r="Q15" s="192" t="b">
        <f t="shared" si="5"/>
        <v>0</v>
      </c>
      <c r="R15" s="192" t="b">
        <f t="shared" si="5"/>
        <v>0</v>
      </c>
      <c r="S15" s="192" t="b">
        <f t="shared" si="5"/>
        <v>0</v>
      </c>
      <c r="T15" s="190">
        <f>J15+K15+L15+M15+N15+O15+P15+Q15+R15+S15</f>
        <v>0</v>
      </c>
      <c r="U15" s="49"/>
      <c r="V15" s="49"/>
    </row>
    <row r="16" spans="1:22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</row>
    <row r="17" spans="1:22" x14ac:dyDescent="0.25">
      <c r="A17" s="49"/>
      <c r="B17" s="188"/>
      <c r="C17" s="189"/>
      <c r="D17" s="190" t="s">
        <v>704</v>
      </c>
      <c r="E17" s="190" t="s">
        <v>705</v>
      </c>
      <c r="F17" s="190" t="s">
        <v>706</v>
      </c>
      <c r="G17" s="191" t="s">
        <v>707</v>
      </c>
      <c r="H17" s="191" t="s">
        <v>708</v>
      </c>
      <c r="I17" s="189"/>
      <c r="J17" s="190">
        <v>1</v>
      </c>
      <c r="K17" s="190">
        <v>2</v>
      </c>
      <c r="L17" s="190">
        <v>3</v>
      </c>
      <c r="M17" s="190">
        <v>4</v>
      </c>
      <c r="N17" s="190">
        <v>5</v>
      </c>
      <c r="O17" s="190">
        <v>6</v>
      </c>
      <c r="P17" s="190">
        <v>7</v>
      </c>
      <c r="Q17" s="190">
        <v>8</v>
      </c>
      <c r="R17" s="190">
        <v>9</v>
      </c>
      <c r="S17" s="190">
        <v>10</v>
      </c>
      <c r="T17" s="192" t="s">
        <v>696</v>
      </c>
      <c r="U17" s="49"/>
      <c r="V17" s="49"/>
    </row>
    <row r="18" spans="1:22" x14ac:dyDescent="0.25">
      <c r="A18" s="49"/>
      <c r="B18" s="188"/>
      <c r="C18" s="190" t="s">
        <v>677</v>
      </c>
      <c r="D18" s="190">
        <v>39</v>
      </c>
      <c r="E18" s="190">
        <v>95</v>
      </c>
      <c r="F18" s="190">
        <v>220</v>
      </c>
      <c r="G18" s="190">
        <f>(E18-D18)/8</f>
        <v>7</v>
      </c>
      <c r="H18" s="190">
        <f>(F18-D18)/8</f>
        <v>22.625</v>
      </c>
      <c r="I18" s="189"/>
      <c r="J18" s="190">
        <f>'6. Неадресные модули'!F3</f>
        <v>8</v>
      </c>
      <c r="K18" s="190">
        <f>'6. Неадресные модули'!F14</f>
        <v>8</v>
      </c>
      <c r="L18" s="190">
        <f>'6. Неадресные модули'!F25</f>
        <v>8</v>
      </c>
      <c r="M18" s="190">
        <f>'6. Неадресные модули'!F36</f>
        <v>8</v>
      </c>
      <c r="N18" s="190">
        <f>'6. Неадресные модули'!F47</f>
        <v>8</v>
      </c>
      <c r="O18" s="190">
        <f>'6. Неадресные модули'!F58</f>
        <v>8</v>
      </c>
      <c r="P18" s="190">
        <f>'6. Неадресные модули'!F69</f>
        <v>8</v>
      </c>
      <c r="Q18" s="190">
        <f>'6. Неадресные модули'!F80</f>
        <v>8</v>
      </c>
      <c r="R18" s="190">
        <f>'6. Неадресные модули'!F91</f>
        <v>8</v>
      </c>
      <c r="S18" s="190">
        <f>'6. Неадресные модули'!F102</f>
        <v>8</v>
      </c>
      <c r="T18" s="194"/>
      <c r="U18" s="49"/>
      <c r="V18" s="49"/>
    </row>
    <row r="19" spans="1:22" x14ac:dyDescent="0.25">
      <c r="A19" s="49"/>
      <c r="B19" s="188"/>
      <c r="C19" s="190" t="s">
        <v>548</v>
      </c>
      <c r="D19" s="190">
        <v>39</v>
      </c>
      <c r="E19" s="190">
        <v>127</v>
      </c>
      <c r="F19" s="190">
        <v>84</v>
      </c>
      <c r="G19" s="190">
        <f>(E19-D19)/8</f>
        <v>11</v>
      </c>
      <c r="H19" s="190">
        <f>(F19-D19)/8</f>
        <v>5.625</v>
      </c>
      <c r="I19" s="189"/>
      <c r="J19" s="190">
        <f>'6. Неадресные модули'!F4</f>
        <v>0</v>
      </c>
      <c r="K19" s="190">
        <f>'6. Неадресные модули'!F15</f>
        <v>0</v>
      </c>
      <c r="L19" s="190">
        <f>'6. Неадресные модули'!F26</f>
        <v>0</v>
      </c>
      <c r="M19" s="190">
        <f>'6. Неадресные модули'!F37</f>
        <v>0</v>
      </c>
      <c r="N19" s="190">
        <f>'6. Неадресные модули'!F48</f>
        <v>0</v>
      </c>
      <c r="O19" s="190">
        <f>'6. Неадресные модули'!F59</f>
        <v>0</v>
      </c>
      <c r="P19" s="190">
        <f>'6. Неадресные модули'!F70</f>
        <v>0</v>
      </c>
      <c r="Q19" s="190">
        <f>'6. Неадресные модули'!F81</f>
        <v>0</v>
      </c>
      <c r="R19" s="190">
        <f>'6. Неадресные модули'!F92</f>
        <v>0</v>
      </c>
      <c r="S19" s="190">
        <f>'6. Неадресные модули'!F103</f>
        <v>0</v>
      </c>
      <c r="T19" s="195"/>
      <c r="U19" s="49"/>
      <c r="V19" s="49"/>
    </row>
    <row r="20" spans="1:22" x14ac:dyDescent="0.25">
      <c r="A20" s="49"/>
      <c r="B20" s="188"/>
      <c r="C20" s="189"/>
      <c r="D20" s="189"/>
      <c r="E20" s="189"/>
      <c r="F20" s="189"/>
      <c r="G20" s="189"/>
      <c r="H20" s="188"/>
      <c r="I20" s="188"/>
      <c r="J20" s="192">
        <f t="shared" ref="J20:S20" si="6">J18*$G18+J19*$G19+$D18</f>
        <v>95</v>
      </c>
      <c r="K20" s="192">
        <f t="shared" si="6"/>
        <v>95</v>
      </c>
      <c r="L20" s="192">
        <f t="shared" si="6"/>
        <v>95</v>
      </c>
      <c r="M20" s="192">
        <f t="shared" si="6"/>
        <v>95</v>
      </c>
      <c r="N20" s="192">
        <f t="shared" si="6"/>
        <v>95</v>
      </c>
      <c r="O20" s="192">
        <f t="shared" si="6"/>
        <v>95</v>
      </c>
      <c r="P20" s="192">
        <f t="shared" si="6"/>
        <v>95</v>
      </c>
      <c r="Q20" s="192">
        <f t="shared" si="6"/>
        <v>95</v>
      </c>
      <c r="R20" s="192">
        <f t="shared" si="6"/>
        <v>95</v>
      </c>
      <c r="S20" s="192">
        <f t="shared" si="6"/>
        <v>95</v>
      </c>
      <c r="T20" s="192">
        <f>SUM(J20*J$22,K20*K$22,L20*L$22,M20*M$22,N20*N$22,O20*O$22,P20*P$22,Q20*Q$22,R20*R$22,S20*S$22)</f>
        <v>0</v>
      </c>
      <c r="U20" s="49"/>
      <c r="V20" s="49"/>
    </row>
    <row r="21" spans="1:22" x14ac:dyDescent="0.25">
      <c r="A21" s="49"/>
      <c r="B21" s="188"/>
      <c r="C21" s="189"/>
      <c r="D21" s="189"/>
      <c r="E21" s="189"/>
      <c r="F21" s="189"/>
      <c r="G21" s="189"/>
      <c r="H21" s="197"/>
      <c r="I21" s="188"/>
      <c r="J21" s="192">
        <f t="shared" ref="J21:S21" si="7">J18*$H18+J19*$H19+$D18</f>
        <v>220</v>
      </c>
      <c r="K21" s="192">
        <f t="shared" si="7"/>
        <v>220</v>
      </c>
      <c r="L21" s="192">
        <f t="shared" si="7"/>
        <v>220</v>
      </c>
      <c r="M21" s="192">
        <f t="shared" si="7"/>
        <v>220</v>
      </c>
      <c r="N21" s="192">
        <f t="shared" si="7"/>
        <v>220</v>
      </c>
      <c r="O21" s="192">
        <f t="shared" si="7"/>
        <v>220</v>
      </c>
      <c r="P21" s="192">
        <f t="shared" si="7"/>
        <v>220</v>
      </c>
      <c r="Q21" s="192">
        <f t="shared" si="7"/>
        <v>220</v>
      </c>
      <c r="R21" s="192">
        <f t="shared" si="7"/>
        <v>220</v>
      </c>
      <c r="S21" s="192">
        <f t="shared" si="7"/>
        <v>220</v>
      </c>
      <c r="T21" s="192">
        <f>SUM(J21*J$22,K21*K$22,L21*L$22,M21*M$22,N21*N$22,O21*O$22,P21*P$22,Q21*Q$22,R21*R$22,S21*S$22)</f>
        <v>0</v>
      </c>
      <c r="U21" s="49"/>
      <c r="V21" s="49"/>
    </row>
    <row r="22" spans="1:22" x14ac:dyDescent="0.25">
      <c r="A22" s="49"/>
      <c r="B22" s="188"/>
      <c r="C22" s="189"/>
      <c r="D22" s="189"/>
      <c r="E22" s="189"/>
      <c r="F22" s="189"/>
      <c r="G22" s="189"/>
      <c r="H22" s="189"/>
      <c r="I22" s="190" t="s">
        <v>697</v>
      </c>
      <c r="J22" s="190" t="b">
        <f t="shared" ref="J22:S22" si="8">$C30-J17&gt;=0</f>
        <v>0</v>
      </c>
      <c r="K22" s="190" t="b">
        <f t="shared" si="8"/>
        <v>0</v>
      </c>
      <c r="L22" s="190" t="b">
        <f t="shared" si="8"/>
        <v>0</v>
      </c>
      <c r="M22" s="190" t="b">
        <f t="shared" si="8"/>
        <v>0</v>
      </c>
      <c r="N22" s="190" t="b">
        <f t="shared" si="8"/>
        <v>0</v>
      </c>
      <c r="O22" s="190" t="b">
        <f t="shared" si="8"/>
        <v>0</v>
      </c>
      <c r="P22" s="190" t="b">
        <f t="shared" si="8"/>
        <v>0</v>
      </c>
      <c r="Q22" s="190" t="b">
        <f t="shared" si="8"/>
        <v>0</v>
      </c>
      <c r="R22" s="190" t="b">
        <f t="shared" si="8"/>
        <v>0</v>
      </c>
      <c r="S22" s="190" t="b">
        <f t="shared" si="8"/>
        <v>0</v>
      </c>
      <c r="T22" s="194"/>
      <c r="U22" s="49"/>
      <c r="V22" s="49"/>
    </row>
    <row r="23" spans="1:22" x14ac:dyDescent="0.25">
      <c r="A23" s="49"/>
      <c r="B23" s="188"/>
      <c r="C23" s="189"/>
      <c r="D23" s="189"/>
      <c r="E23" s="189"/>
      <c r="F23" s="189"/>
      <c r="G23" s="189"/>
      <c r="H23" s="189"/>
      <c r="I23" s="190" t="s">
        <v>699</v>
      </c>
      <c r="J23" s="190">
        <f>'6. Неадресные модули'!$F5</f>
        <v>8</v>
      </c>
      <c r="K23" s="190">
        <f>'6. Неадресные модули'!$F16</f>
        <v>8</v>
      </c>
      <c r="L23" s="190">
        <f>'6. Неадресные модули'!$F27</f>
        <v>8</v>
      </c>
      <c r="M23" s="190">
        <f>'6. Неадресные модули'!$F38</f>
        <v>8</v>
      </c>
      <c r="N23" s="190">
        <f>'6. Неадресные модули'!$F49</f>
        <v>8</v>
      </c>
      <c r="O23" s="190">
        <f>'6. Неадресные модули'!$F60</f>
        <v>8</v>
      </c>
      <c r="P23" s="190">
        <f>'6. Неадресные модули'!$F71</f>
        <v>8</v>
      </c>
      <c r="Q23" s="190">
        <f>'6. Неадресные модули'!$F82</f>
        <v>8</v>
      </c>
      <c r="R23" s="190">
        <f>'6. Неадресные модули'!$F93</f>
        <v>8</v>
      </c>
      <c r="S23" s="190">
        <f>'6. Неадресные модули'!$F104</f>
        <v>8</v>
      </c>
      <c r="T23" s="198"/>
      <c r="U23" s="49"/>
      <c r="V23" s="49"/>
    </row>
    <row r="24" spans="1:22" x14ac:dyDescent="0.25">
      <c r="A24" s="49"/>
      <c r="B24" s="188"/>
      <c r="C24" s="49"/>
      <c r="D24" s="49"/>
      <c r="E24" s="49"/>
      <c r="F24" s="49"/>
      <c r="G24" s="49"/>
      <c r="H24" s="49"/>
      <c r="I24" s="199" t="s">
        <v>700</v>
      </c>
      <c r="J24" s="190">
        <f>'6. Неадресные модули'!$F6</f>
        <v>0</v>
      </c>
      <c r="K24" s="190">
        <f>'6. Неадресные модули'!$F17</f>
        <v>0</v>
      </c>
      <c r="L24" s="190">
        <f>'6. Неадресные модули'!$F28</f>
        <v>0</v>
      </c>
      <c r="M24" s="190">
        <f>'6. Неадресные модули'!$F39</f>
        <v>0</v>
      </c>
      <c r="N24" s="190">
        <f>'6. Неадресные модули'!$F50</f>
        <v>0</v>
      </c>
      <c r="O24" s="190">
        <f>'6. Неадресные модули'!$F61</f>
        <v>0</v>
      </c>
      <c r="P24" s="190">
        <f>'6. Неадресные модули'!$F72</f>
        <v>0</v>
      </c>
      <c r="Q24" s="190">
        <f>'6. Неадресные модули'!$F83</f>
        <v>0</v>
      </c>
      <c r="R24" s="190">
        <f>'6. Неадресные модули'!$F94</f>
        <v>0</v>
      </c>
      <c r="S24" s="190">
        <f>'6. Неадресные модули'!$F105</f>
        <v>0</v>
      </c>
      <c r="T24" s="200"/>
      <c r="U24" s="49"/>
      <c r="V24" s="49"/>
    </row>
    <row r="25" spans="1:22" x14ac:dyDescent="0.25">
      <c r="A25" s="49"/>
      <c r="B25" s="188"/>
      <c r="C25" s="49"/>
      <c r="D25" s="49"/>
      <c r="E25" s="49"/>
      <c r="F25" s="49"/>
      <c r="G25" s="49"/>
      <c r="H25" s="49"/>
      <c r="I25" s="190" t="s">
        <v>701</v>
      </c>
      <c r="J25" s="190">
        <f t="shared" ref="J25:S25" si="9">J22*(J23-J24)</f>
        <v>0</v>
      </c>
      <c r="K25" s="190">
        <f t="shared" si="9"/>
        <v>0</v>
      </c>
      <c r="L25" s="190">
        <f t="shared" si="9"/>
        <v>0</v>
      </c>
      <c r="M25" s="190">
        <f t="shared" si="9"/>
        <v>0</v>
      </c>
      <c r="N25" s="190">
        <f t="shared" si="9"/>
        <v>0</v>
      </c>
      <c r="O25" s="190">
        <f t="shared" si="9"/>
        <v>0</v>
      </c>
      <c r="P25" s="190">
        <f t="shared" si="9"/>
        <v>0</v>
      </c>
      <c r="Q25" s="190">
        <f t="shared" si="9"/>
        <v>0</v>
      </c>
      <c r="R25" s="190">
        <f t="shared" si="9"/>
        <v>0</v>
      </c>
      <c r="S25" s="190">
        <f t="shared" si="9"/>
        <v>0</v>
      </c>
      <c r="T25" s="190">
        <f>SUM(J25:S25)</f>
        <v>0</v>
      </c>
      <c r="U25" s="49"/>
      <c r="V25" s="49"/>
    </row>
    <row r="26" spans="1:22" x14ac:dyDescent="0.25">
      <c r="A26" s="49"/>
      <c r="B26" s="188"/>
      <c r="C26" s="188"/>
      <c r="D26" s="188"/>
      <c r="E26" s="188"/>
      <c r="F26" s="188"/>
      <c r="G26" s="188"/>
      <c r="H26" s="188"/>
      <c r="I26" s="192" t="s">
        <v>712</v>
      </c>
      <c r="J26" s="192">
        <f t="shared" ref="J26:S26" si="10">J23*J22</f>
        <v>0</v>
      </c>
      <c r="K26" s="192">
        <f t="shared" si="10"/>
        <v>0</v>
      </c>
      <c r="L26" s="192">
        <f t="shared" si="10"/>
        <v>0</v>
      </c>
      <c r="M26" s="192">
        <f t="shared" si="10"/>
        <v>0</v>
      </c>
      <c r="N26" s="192">
        <f t="shared" si="10"/>
        <v>0</v>
      </c>
      <c r="O26" s="192">
        <f t="shared" si="10"/>
        <v>0</v>
      </c>
      <c r="P26" s="192">
        <f t="shared" si="10"/>
        <v>0</v>
      </c>
      <c r="Q26" s="192">
        <f t="shared" si="10"/>
        <v>0</v>
      </c>
      <c r="R26" s="192">
        <f t="shared" si="10"/>
        <v>0</v>
      </c>
      <c r="S26" s="192">
        <f t="shared" si="10"/>
        <v>0</v>
      </c>
      <c r="T26" s="190">
        <f>SUM(J26:S26)</f>
        <v>0</v>
      </c>
      <c r="U26" s="49"/>
      <c r="V26" s="49"/>
    </row>
    <row r="27" spans="1:22" x14ac:dyDescent="0.25">
      <c r="A27" s="49"/>
      <c r="B27" s="129"/>
      <c r="C27" s="129"/>
      <c r="D27" s="129"/>
      <c r="E27" s="129"/>
      <c r="F27" s="129"/>
      <c r="G27" s="129"/>
      <c r="H27" s="129"/>
      <c r="I27" s="192" t="s">
        <v>717</v>
      </c>
      <c r="J27" s="192" t="b">
        <f t="shared" ref="J27:S27" si="11">AND(2*J24&lt;=J23,J22)</f>
        <v>0</v>
      </c>
      <c r="K27" s="192" t="b">
        <f t="shared" si="11"/>
        <v>0</v>
      </c>
      <c r="L27" s="192" t="b">
        <f t="shared" si="11"/>
        <v>0</v>
      </c>
      <c r="M27" s="192" t="b">
        <f t="shared" si="11"/>
        <v>0</v>
      </c>
      <c r="N27" s="192" t="b">
        <f t="shared" si="11"/>
        <v>0</v>
      </c>
      <c r="O27" s="192" t="b">
        <f t="shared" si="11"/>
        <v>0</v>
      </c>
      <c r="P27" s="192" t="b">
        <f t="shared" si="11"/>
        <v>0</v>
      </c>
      <c r="Q27" s="192" t="b">
        <f t="shared" si="11"/>
        <v>0</v>
      </c>
      <c r="R27" s="192" t="b">
        <f t="shared" si="11"/>
        <v>0</v>
      </c>
      <c r="S27" s="192" t="b">
        <f t="shared" si="11"/>
        <v>0</v>
      </c>
      <c r="T27" s="190">
        <f>J27+K27+L27+M27+N27+O27+P27+Q27+R27+S27</f>
        <v>0</v>
      </c>
      <c r="U27" s="49"/>
      <c r="V27" s="49"/>
    </row>
    <row r="28" spans="1:22" x14ac:dyDescent="0.25">
      <c r="A28" s="49"/>
      <c r="B28" s="188"/>
      <c r="C28" s="188"/>
      <c r="D28" s="129"/>
      <c r="E28" s="129"/>
      <c r="F28" s="129"/>
      <c r="G28" s="129"/>
      <c r="H28" s="129"/>
      <c r="I28" s="129"/>
      <c r="J28" s="129"/>
      <c r="K28" s="129"/>
      <c r="L28" s="129"/>
      <c r="M28" s="49"/>
      <c r="N28" s="49"/>
      <c r="O28" s="49"/>
      <c r="P28" s="49"/>
      <c r="Q28" s="49"/>
      <c r="R28" s="49"/>
      <c r="S28" s="49"/>
      <c r="T28" s="49"/>
      <c r="U28" s="49"/>
      <c r="V28" s="49"/>
    </row>
    <row r="29" spans="1:22" x14ac:dyDescent="0.25">
      <c r="A29" s="49"/>
      <c r="B29" s="192" t="s">
        <v>702</v>
      </c>
      <c r="C29" s="192">
        <f>'1. СФ-ШС-24'!C11*('1. СФ-ШС-24'!C12=ШДанные!B40)</f>
        <v>0</v>
      </c>
      <c r="D29" s="129"/>
      <c r="E29" s="129"/>
      <c r="F29" s="129"/>
      <c r="G29" s="129"/>
      <c r="H29" s="129"/>
      <c r="I29" s="129"/>
      <c r="J29" s="129"/>
      <c r="K29" s="129"/>
      <c r="L29" s="129"/>
      <c r="M29" s="49"/>
      <c r="N29" s="49"/>
      <c r="O29" s="49"/>
      <c r="P29" s="49"/>
      <c r="Q29" s="49"/>
      <c r="R29" s="49"/>
      <c r="S29" s="49"/>
      <c r="T29" s="49"/>
      <c r="U29" s="49"/>
      <c r="V29" s="49"/>
    </row>
    <row r="30" spans="1:22" x14ac:dyDescent="0.25">
      <c r="A30" s="49"/>
      <c r="B30" s="195" t="s">
        <v>703</v>
      </c>
      <c r="C30" s="195">
        <f>'1. СФ-ШС-24'!F11*('1. СФ-ШС-24'!F12=ШДанные!B46)</f>
        <v>0</v>
      </c>
      <c r="D30" s="129"/>
      <c r="E30" s="129"/>
      <c r="F30" s="129"/>
      <c r="G30" s="129"/>
      <c r="H30" s="129"/>
      <c r="I30" s="129"/>
      <c r="J30" s="129"/>
      <c r="K30" s="129"/>
      <c r="L30" s="129"/>
      <c r="M30" s="49"/>
      <c r="N30" s="49"/>
      <c r="O30" s="49"/>
      <c r="P30" s="49"/>
      <c r="Q30" s="49"/>
      <c r="R30" s="49"/>
      <c r="S30" s="49"/>
      <c r="T30" s="49"/>
      <c r="U30" s="49"/>
      <c r="V30" s="49"/>
    </row>
    <row r="31" spans="1:22" x14ac:dyDescent="0.25">
      <c r="A31" s="49"/>
      <c r="B31" s="190" t="s">
        <v>253</v>
      </c>
      <c r="C31" s="190" t="b">
        <f>AND(C29=T15,C30=T27,C29+C30&gt;0)</f>
        <v>0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</row>
    <row r="32" spans="1:22" x14ac:dyDescent="0.25">
      <c r="A32" s="49"/>
      <c r="B32" s="190" t="s">
        <v>722</v>
      </c>
      <c r="C32" s="190" t="b">
        <f>OR(C29&gt;0,C30&gt;0)</f>
        <v>0</v>
      </c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</row>
    <row r="33" spans="1:22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</row>
    <row r="34" spans="1:22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37</vt:i4>
      </vt:variant>
    </vt:vector>
  </HeadingPairs>
  <TitlesOfParts>
    <vt:vector size="47" baseType="lpstr">
      <vt:lpstr>1. СФ-ШС-24</vt:lpstr>
      <vt:lpstr>ШДанные</vt:lpstr>
      <vt:lpstr>2. СФ-МАШ-4 №1</vt:lpstr>
      <vt:lpstr>3. СФ-МАШ-4 №2</vt:lpstr>
      <vt:lpstr>4. СФ-МАШ-4 №3</vt:lpstr>
      <vt:lpstr>5. СФ-МАШ-4 №4</vt:lpstr>
      <vt:lpstr>МДанные</vt:lpstr>
      <vt:lpstr>6. Неадресные модули</vt:lpstr>
      <vt:lpstr>ДДанные</vt:lpstr>
      <vt:lpstr>Справочная информация</vt:lpstr>
      <vt:lpstr>d1I</vt:lpstr>
      <vt:lpstr>d2I</vt:lpstr>
      <vt:lpstr>d3I</vt:lpstr>
      <vt:lpstr>d4I</vt:lpstr>
      <vt:lpstr>Ld</vt:lpstr>
      <vt:lpstr>Le</vt:lpstr>
      <vt:lpstr>Lpow</vt:lpstr>
      <vt:lpstr>Ls</vt:lpstr>
      <vt:lpstr>Lstop</vt:lpstr>
      <vt:lpstr>N1am</vt:lpstr>
      <vt:lpstr>N1as</vt:lpstr>
      <vt:lpstr>N1i</vt:lpstr>
      <vt:lpstr>N1om</vt:lpstr>
      <vt:lpstr>N1os</vt:lpstr>
      <vt:lpstr>N1u</vt:lpstr>
      <vt:lpstr>N2am</vt:lpstr>
      <vt:lpstr>N2as</vt:lpstr>
      <vt:lpstr>N2i</vt:lpstr>
      <vt:lpstr>N2om</vt:lpstr>
      <vt:lpstr>N2os</vt:lpstr>
      <vt:lpstr>N2u</vt:lpstr>
      <vt:lpstr>N3am</vt:lpstr>
      <vt:lpstr>N3as</vt:lpstr>
      <vt:lpstr>N3i</vt:lpstr>
      <vt:lpstr>N3om</vt:lpstr>
      <vt:lpstr>N3os</vt:lpstr>
      <vt:lpstr>N3u</vt:lpstr>
      <vt:lpstr>N4am</vt:lpstr>
      <vt:lpstr>N4as</vt:lpstr>
      <vt:lpstr>N4i</vt:lpstr>
      <vt:lpstr>N4om</vt:lpstr>
      <vt:lpstr>N4os</vt:lpstr>
      <vt:lpstr>N4u</vt:lpstr>
      <vt:lpstr>Nax</vt:lpstr>
      <vt:lpstr>Nir</vt:lpstr>
      <vt:lpstr>Nix</vt:lpstr>
      <vt:lpstr>Nox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Гуськов Павел</dc:creator>
  <cp:lastModifiedBy>Гуськов Павел</cp:lastModifiedBy>
  <cp:lastPrinted>2021-05-19T12:30:03Z</cp:lastPrinted>
  <dcterms:created xsi:type="dcterms:W3CDTF">2020-10-09T10:51:03Z</dcterms:created>
  <dcterms:modified xsi:type="dcterms:W3CDTF">2021-12-23T07:32:38Z</dcterms:modified>
</cp:coreProperties>
</file>